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4 2020" sheetId="1" r:id="rId1"/>
    <sheet name="2020 прилож 1" sheetId="2" r:id="rId2"/>
    <sheet name="прил.5 2021" sheetId="3" r:id="rId3"/>
    <sheet name="прилож 2 2021" sheetId="4" r:id="rId4"/>
    <sheet name="прил.6 2022" sheetId="5" r:id="rId5"/>
    <sheet name="прилож 3 2022" sheetId="6" r:id="rId6"/>
  </sheets>
  <definedNames>
    <definedName name="__bookmark_1">'Прил.4 2020'!$B$1:$H$5</definedName>
    <definedName name="__bookmark_3">'Прил.4 2020'!$B$6:$H$20</definedName>
    <definedName name="__bookmark_4">'Прил.4 2020'!#REF!</definedName>
    <definedName name="_xlnm.Print_Titles" localSheetId="1">'2020 прилож 1'!$6:$8</definedName>
    <definedName name="_xlnm.Print_Titles" localSheetId="0">'Прил.4 2020'!$6:$8</definedName>
    <definedName name="_xlnm.Print_Titles" localSheetId="2">'прил.5 2021'!$6:$8</definedName>
    <definedName name="_xlnm.Print_Titles" localSheetId="4">'прил.6 2022'!$6:$8</definedName>
    <definedName name="_xlnm.Print_Area" localSheetId="1">'2020 прилож 1'!$A$1:$I$42</definedName>
    <definedName name="_xlnm.Print_Area" localSheetId="0">'Прил.4 2020'!$A$1:$H$42</definedName>
    <definedName name="_xlnm.Print_Area" localSheetId="2">'прил.5 2021'!$A$1:$H$42</definedName>
    <definedName name="_xlnm.Print_Area" localSheetId="4">'прил.6 2022'!$A$1:$H$42</definedName>
    <definedName name="_xlnm.Print_Area" localSheetId="3">'прилож 2 2021'!$A$1:$H$41</definedName>
    <definedName name="_xlnm.Print_Area" localSheetId="5">'прилож 3 2022'!$A$1:$G$43</definedName>
  </definedNames>
  <calcPr fullCalcOnLoad="1"/>
</workbook>
</file>

<file path=xl/sharedStrings.xml><?xml version="1.0" encoding="utf-8"?>
<sst xmlns="http://schemas.openxmlformats.org/spreadsheetml/2006/main" count="294" uniqueCount="70">
  <si>
    <t>№ п/п</t>
  </si>
  <si>
    <t>Наименование базовой услуги или работы</t>
  </si>
  <si>
    <t>Применяемое значение отраслевого корректирующего коэффициента к базовому нормативу затрат</t>
  </si>
  <si>
    <t>Применяемое значение территориального корректирующего коэффициента к базовому нормативу затрат</t>
  </si>
  <si>
    <t>Значение базового норматива затрат с учеом отраслевого и корректирующего коэффициентов на оказание государственной услуги за 1 ед. изм., рублей</t>
  </si>
  <si>
    <t>Затраты на уплату налогов и содержание неиспользуемого для выполнение государственного задания  имущества учреждения, рублей</t>
  </si>
  <si>
    <t>Значение базового норматива затрат на оказание государственной услуги за 1 ед. изм., рублей</t>
  </si>
  <si>
    <t>Значение отраслевого корректирующего коэффициента к базовому нормативу затрат</t>
  </si>
  <si>
    <t>Значение территориального корректирующего коэффициента к базовому нормативу затрат</t>
  </si>
  <si>
    <t>Значение базового норматива затрат с учетом отраслевого и территориального корректирующих коэффициентов на оказание государственной услуги за 1 ед. изм., рублей</t>
  </si>
  <si>
    <t xml:space="preserve"> ГБУ РК "Республиканский центр ветеринарии и консультирования"</t>
  </si>
  <si>
    <t>Приложение  1 к приказу Министерства сельского и рыбного хозяйства Республики Карелия  от ______№ _____</t>
  </si>
  <si>
    <t xml:space="preserve">Значения базового норматива затрат, территориального и отраслевого корректирующих коэффициентов к базовому нормативу затрат на оказание единицы государственной услуги (работы) государственным бюджетным учреждением, функции и полномочия учредителя которого осуществляет Министерство сельского и рыбного хозяйства Республики Карелия, на 2020 год </t>
  </si>
  <si>
    <t>Наименование базовой услуги или работы, реестровый номер</t>
  </si>
  <si>
    <t>кол-во</t>
  </si>
  <si>
    <t>налоги</t>
  </si>
  <si>
    <t>сумма</t>
  </si>
  <si>
    <t>Проведение плановых диагностических мероприятий на особо опасные болезни животных (птиц) и болезни общие для человека и животных (птиц); стационар; отбор проб (750012.Р.10.0.00110027001)</t>
  </si>
  <si>
    <t>скрыть</t>
  </si>
  <si>
    <t>Значение базового норматива затрат на оказание государственной услуги за 1 ед. изм., рублей в 2019 году</t>
  </si>
  <si>
    <t>Проведение плановых диагностических мероприятий на особо опасные болезни животных (птиц) и болезни общие для человека и животных (птиц); на выезде; диагностические мероприятия (750012.Р.10.0.00110026001)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</si>
  <si>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лечению; стационар; лабораторные исследования ('750012.Р.10.0.00110001001)</t>
  </si>
  <si>
    <t>Проведение плановых диагностических мероприятий на особо опасные болезни животных (птиц) и болезни общие для человека и животных (птиц); на выезде; отбор проб ('750012.Р.10.0.00110024001)</t>
  </si>
  <si>
    <t>Проведение плановых профилактичеких вакцинаций животных (птиц) против особо опасных болезней общих для человека и животных (птиц); стационар; вакцинация (750012.Р.10.0.00110010001)</t>
  </si>
  <si>
    <t>Проведение плановых профилактичеких вакцинаций животных (птиц) против особо опасных болезней общих для человека и животных (птиц); на выезде; вакцинация (50012.Р.10.0.00110021001)</t>
  </si>
  <si>
    <t>Проведение ветеринарных организационных работ учет и ответственное хранение лекарственных средств и препаратов для ветеринарного применения; стационар; оформление документов (750019.Р.10.0.00110029001)</t>
  </si>
  <si>
    <t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происхождения; на выезде; оформление документов (750012.Р.10.0.00110016001)</t>
  </si>
  <si>
    <t xml:space="preserve"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происхождения; на выезде; проведение мероприятий ('750012.Р.10.0.00110019001) </t>
  </si>
  <si>
    <t>Оформление и выдача ветеринарных сопроводительных документов; на выезде; проведение мероприятий (750012.Р.10.0.01000002001)</t>
  </si>
  <si>
    <t>Проведение ветеринарно-санитарной экспертизы сырья и продукции животного происхождения на трихинеллез; стационар; отбор проб (750012.Р.10.0.00100013001)</t>
  </si>
  <si>
    <t>Проведение ветеринарно-санитарной экспертизы сырья и продукции животного происхождения на трихинеллез; стационар; лабораторные исследования (750012.Р.10.0.00100020001)</t>
  </si>
  <si>
    <t>Проведение ветеринарно-санитарной экспертизы сырья и продукции животного происхождения на трихинеллез; стационар; оформление документов (750012.Р.10.0.00100021001)</t>
  </si>
  <si>
    <t>Проведение лабораторных исследований в рамках осуществления регионального государственного ветеринарного надзора, включая отбор проб и их транспортировку; стационар; лабораторные исследования (750012.Р.10.0.00100022001)</t>
  </si>
  <si>
    <t>Проведение ветеринарно-санитарной экспертизы сырья и продукции животного происхождения на трихинеллез; стационар; отбор проб (750012.Р.10.0.00100026001)</t>
  </si>
  <si>
    <t>Проведение учета и контроля за состоянием скотомогильников, включая сибиреязвенные; на выезде; оформление документов (750019.Р.10.0.00100008001)</t>
  </si>
  <si>
    <t>Проведение учета и контроля за состоянием скотомогильников, включая сибиреязвенные; на выезде; осмотр объектов (750019.Р.10.0.00100002001)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</si>
  <si>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транспортировку; на выезде; отбор проб (750012.Р.10.0.00100017001)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</si>
  <si>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транспортировку; стационар; оформление документов (750012.Р.10.0.00100015001)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</si>
  <si>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транспортировку; стационар; лабораторные исследования (750012.Р.10.0.00100016001)</t>
  </si>
  <si>
    <t>Проведение обучающих и выездных семинаров (мероприятий) основам ведения предпринимательской деятельности в области сельского хозяйства, основам законодательства о сельскохозяйственной кооперации, правилам организации работы кооператива; обучение (702000.Р.10.0.02110001001)</t>
  </si>
  <si>
    <t>Проведение обучающих мероприятий представителей органов государственной власти и местного самоуправления основам законодательства о сельскохозяйственной кооперации; обучение (749000.Р.10.0.02110002001)</t>
  </si>
  <si>
    <t>Оказание услуг, связанных с бухгалтерским сопровождением для КФХ, являющимся получателями грантов по мероприятиям поддержки начинающих фермеров и грантов Аргостартап; оформление документов (749020.Р.10.0.02110011001)</t>
  </si>
  <si>
    <t>Проведение консультаций КФХ по проведению деятельности в части содействия в организации предпринимательской деятельности в сельском хозяйстве; консультирование ('702200.Р.10.0.02110004001)</t>
  </si>
  <si>
    <t>Оказание консультационных услуг по вопросам приобретения прав на земельные участки из земель сельскохозяйственного назначения и их оформления в собственность и / или аренду для КФХ и СПоК; консультирование (749020.Р.10.0.02110005001)</t>
  </si>
  <si>
    <t>Оформление необходимых документов для участия в программах государственной поддержки, реализуемых на муниципальном, региональном и федеральном уровнях, мероприятиях федерального проекта для КФХ и СПоК;оформление документов (749020.Р.10.0.02110007001)</t>
  </si>
  <si>
    <t>Оказание устных юридических консультаций субъектов МСП и СХК; консультирование (702000.Р.10.0.02110009001)</t>
  </si>
  <si>
    <t>Привлечение к участию в выставочно-ярмарочных и конгрессных мероприятиях, бизнес-миссиях, других мероприятиях КФХ и СПоК, являющимся получателями грантовой поддержки и мер государственной поддержки в соответствии с федеральным проектом; информирование (702200.Р.10.0.02130001001)</t>
  </si>
  <si>
    <t>Автотранспортное обслуживание должностных лиц государственных органов и государственных учреждений; на постоянной основе (494117.Р.10.1.00660001001)</t>
  </si>
  <si>
    <t>Формирование комплекта бюджетной отчетности государственных органов; на бумажном носителе и (или) в электронном виде (692029.Р.10.1.02700001001)</t>
  </si>
  <si>
    <t>Организация делопроизводства, комплектование, хранение, учет и использование архивных документов государственного органа; на бумажном носителе и (или) в электронном виде  (821110.Р.10.1.02690001001)</t>
  </si>
  <si>
    <t>Обеспечение материально-технического сопровождения деятельности государственных органов; на постоянной основе (821110.Р.10.1.02660001001)</t>
  </si>
  <si>
    <t>всего</t>
  </si>
  <si>
    <t>Центр компетенции</t>
  </si>
  <si>
    <t>Отдел аналитики и мат обеспечение</t>
  </si>
  <si>
    <t>Значения базового норматива затрат с учетом отраслевого  и территориального корректирующих коэффициентов на оказание единицы государственной услуги (работы)  и затрат на уплату налогов и содержание неиспользуемого для выполнения государственного задания имущества государственным бюджетным учреждением, функции и полномочия учредителя которого осуществляет Министерство сельского и рыбного хозяйства Республики Карелия, на 2020 год</t>
  </si>
  <si>
    <t>Значения базового норматива затрат с учетом отраслевого  и территориального корректирующих коэффициентов на оказание единицы государственной услуги (работы)  и затрат на уплату налогов и содержание неиспользуемого для выполнения государственного задания имущества государственным бюджетным учреждением, функции и полномочия учредителя которого осуществляет Министерство сельского и рыбного хозяйства Республики Карелия, на 2021 год</t>
  </si>
  <si>
    <t xml:space="preserve">Значения базового норматива затрат, территориального и отраслевого корректирующих коэффициентов к базовому нормативу затрат на оказание единицы государственной услуги (работы) государственным бюджетным учреждением, функции и полномочия учредителя которого осуществляет Министерство сельского и рыбного хозяйства Республики Карелия, на 2021 год </t>
  </si>
  <si>
    <t>Значения базового норматива затрат с учетом отраслевого  и территориального корректирующих коэффициентов на оказание единицы государственной услуги (работы)  и затрат на уплату налогов и содержание неиспользуемого для выполнения государственного задания имущества государственным бюджетным учреждением, функции и полномочия учредителя которого осуществляет Министерство сельского и рыбного хозяйства Республики Карелия, на 2022 год</t>
  </si>
  <si>
    <t xml:space="preserve">Значения базового норматива затрат, территориального и отраслевого корректирующих коэффициентов к базовому нормативу затрат на оказание единицы государственной услуги (работы) государственным бюджетным учреждением, функции и полномочия учредителя которого осуществляет Министерство сельского и рыбного хозяйства Республики Карелия, на 2022 год </t>
  </si>
  <si>
    <t>ВСЕГО</t>
  </si>
  <si>
    <t>2021 год</t>
  </si>
  <si>
    <t>2020 год</t>
  </si>
  <si>
    <t>2022 год</t>
  </si>
  <si>
    <t>Всего</t>
  </si>
  <si>
    <t>Значение базового норматива затрат с учетом отраслевого и корректирующего коэффициентов на оказание государственной услуги за 1 ед. изм., рублей</t>
  </si>
  <si>
    <t>Приложение  4 к приказу Министерства сельского и рыбного хозяйства Республики Карелия  от ________ 2020 № ______</t>
  </si>
  <si>
    <t>Приложение  5 к приказу Министерства сельского и рыбного хозяйства Республики Карелия  от ________ 2020 № ______</t>
  </si>
  <si>
    <t>Приложение  2 к приказу Министерства сельского и рыбного хозяйства Республики Карелия  от ______№ _____</t>
  </si>
  <si>
    <t>Приложение 6 к приказу Министерства сельского и рыбного хозяйства Республики Карелия  от ________ 2020 № ______</t>
  </si>
  <si>
    <t>Приложение  3 к приказу Министерства сельского и рыбного хозяйства Республики Карелия  от ______№ _____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</si>
</sst>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#,##0.00000"/>
    <numFmt numFmtId="182" formatCode="#,##0.000000"/>
  </numFmts>
  <fonts count="39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180" fontId="2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82" fontId="2" fillId="33" borderId="10" xfId="0" applyNumberFormat="1" applyFont="1" applyFill="1" applyBorder="1" applyAlignment="1">
      <alignment horizontal="right" vertical="top" wrapText="1"/>
    </xf>
    <xf numFmtId="180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80" fontId="2" fillId="33" borderId="11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4" fontId="0" fillId="0" borderId="0" xfId="0" applyNumberFormat="1" applyFill="1" applyBorder="1" applyAlignment="1">
      <alignment vertical="top"/>
    </xf>
    <xf numFmtId="4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vertical="center" wrapText="1"/>
    </xf>
    <xf numFmtId="180" fontId="0" fillId="0" borderId="0" xfId="0" applyNumberFormat="1" applyAlignment="1">
      <alignment vertical="top"/>
    </xf>
    <xf numFmtId="0" fontId="1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vertical="top"/>
    </xf>
    <xf numFmtId="0" fontId="2" fillId="33" borderId="13" xfId="0" applyFont="1" applyFill="1" applyBorder="1" applyAlignment="1">
      <alignment horizontal="center" wrapText="1"/>
    </xf>
    <xf numFmtId="180" fontId="2" fillId="33" borderId="13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2"/>
  <sheetViews>
    <sheetView tabSelected="1" zoomScaleSheetLayoutView="100" workbookViewId="0" topLeftCell="A1">
      <selection activeCell="F11" sqref="F11"/>
    </sheetView>
  </sheetViews>
  <sheetFormatPr defaultColWidth="9.140625" defaultRowHeight="12.75"/>
  <cols>
    <col min="1" max="1" width="5.7109375" style="0" bestFit="1" customWidth="1"/>
    <col min="2" max="2" width="27.57421875" style="0" customWidth="1"/>
    <col min="3" max="3" width="34.00390625" style="0" customWidth="1"/>
    <col min="4" max="4" width="17.00390625" style="0" customWidth="1"/>
    <col min="5" max="5" width="19.7109375" style="0" customWidth="1"/>
    <col min="6" max="6" width="19.7109375" style="0" hidden="1" customWidth="1"/>
    <col min="7" max="8" width="20.140625" style="0" customWidth="1"/>
    <col min="9" max="9" width="20.421875" style="0" hidden="1" customWidth="1"/>
    <col min="10" max="10" width="14.7109375" style="0" hidden="1" customWidth="1"/>
    <col min="11" max="11" width="13.28125" style="0" hidden="1" customWidth="1"/>
    <col min="12" max="12" width="13.421875" style="0" hidden="1" customWidth="1"/>
  </cols>
  <sheetData>
    <row r="1" spans="2:9" ht="42.75" customHeight="1">
      <c r="B1" s="1"/>
      <c r="C1" s="1"/>
      <c r="D1" s="1"/>
      <c r="E1" s="1"/>
      <c r="F1" s="1"/>
      <c r="G1" s="51" t="s">
        <v>65</v>
      </c>
      <c r="H1" s="51"/>
      <c r="I1" s="8"/>
    </row>
    <row r="2" spans="2:8" ht="15" hidden="1">
      <c r="B2" s="1"/>
      <c r="C2" s="1"/>
      <c r="D2" s="1"/>
      <c r="E2" s="1"/>
      <c r="F2" s="1"/>
      <c r="G2" s="1"/>
      <c r="H2" s="1"/>
    </row>
    <row r="3" spans="2:8" ht="87" customHeight="1">
      <c r="B3" s="54" t="s">
        <v>54</v>
      </c>
      <c r="C3" s="55"/>
      <c r="D3" s="55"/>
      <c r="E3" s="55"/>
      <c r="F3" s="55"/>
      <c r="G3" s="55"/>
      <c r="H3" s="55"/>
    </row>
    <row r="4" spans="2:8" ht="10.5" customHeight="1">
      <c r="B4" s="54"/>
      <c r="C4" s="54"/>
      <c r="D4" s="54"/>
      <c r="E4" s="54"/>
      <c r="F4" s="54"/>
      <c r="G4" s="54"/>
      <c r="H4" s="54"/>
    </row>
    <row r="5" spans="2:8" ht="15">
      <c r="B5" s="1"/>
      <c r="C5" s="1"/>
      <c r="D5" s="1"/>
      <c r="E5" s="1"/>
      <c r="F5" s="1"/>
      <c r="G5" s="1"/>
      <c r="H5" s="1"/>
    </row>
    <row r="6" spans="1:12" ht="27.75" customHeight="1">
      <c r="A6" s="53" t="s">
        <v>0</v>
      </c>
      <c r="B6" s="45" t="s">
        <v>1</v>
      </c>
      <c r="C6" s="45"/>
      <c r="D6" s="45" t="s">
        <v>2</v>
      </c>
      <c r="E6" s="45" t="s">
        <v>3</v>
      </c>
      <c r="F6" s="45" t="s">
        <v>6</v>
      </c>
      <c r="G6" s="45" t="s">
        <v>9</v>
      </c>
      <c r="H6" s="45" t="s">
        <v>5</v>
      </c>
      <c r="I6" s="33" t="s">
        <v>61</v>
      </c>
      <c r="J6" s="33" t="s">
        <v>61</v>
      </c>
      <c r="K6" s="30"/>
      <c r="L6" s="30"/>
    </row>
    <row r="7" spans="1:12" ht="125.25" customHeight="1">
      <c r="A7" s="53"/>
      <c r="B7" s="45"/>
      <c r="C7" s="45"/>
      <c r="D7" s="45"/>
      <c r="E7" s="45"/>
      <c r="F7" s="45"/>
      <c r="G7" s="45"/>
      <c r="H7" s="45"/>
      <c r="I7" s="33" t="s">
        <v>14</v>
      </c>
      <c r="J7" s="33" t="s">
        <v>16</v>
      </c>
      <c r="K7" s="30"/>
      <c r="L7" s="30"/>
    </row>
    <row r="8" spans="1:12" ht="15">
      <c r="A8" s="2">
        <v>1</v>
      </c>
      <c r="B8" s="49">
        <v>2</v>
      </c>
      <c r="C8" s="50"/>
      <c r="D8" s="39">
        <v>3</v>
      </c>
      <c r="E8" s="39">
        <v>4</v>
      </c>
      <c r="F8" s="39" t="s">
        <v>18</v>
      </c>
      <c r="G8" s="39">
        <v>5</v>
      </c>
      <c r="H8" s="39">
        <v>6</v>
      </c>
      <c r="I8" s="30"/>
      <c r="J8" s="30"/>
      <c r="K8" s="30"/>
      <c r="L8" s="30"/>
    </row>
    <row r="9" spans="1:12" ht="29.25" customHeight="1">
      <c r="A9" s="3"/>
      <c r="B9" s="52" t="s">
        <v>10</v>
      </c>
      <c r="C9" s="52"/>
      <c r="D9" s="52"/>
      <c r="E9" s="52"/>
      <c r="F9" s="52"/>
      <c r="G9" s="52"/>
      <c r="H9" s="52"/>
      <c r="I9" s="31"/>
      <c r="J9" s="31"/>
      <c r="K9" s="30"/>
      <c r="L9" s="30"/>
    </row>
    <row r="10" spans="1:12" ht="69" customHeight="1">
      <c r="A10" s="4">
        <v>1</v>
      </c>
      <c r="B10" s="46" t="s">
        <v>17</v>
      </c>
      <c r="C10" s="47"/>
      <c r="D10" s="5">
        <v>1</v>
      </c>
      <c r="E10" s="11">
        <v>0.902885</v>
      </c>
      <c r="F10" s="5">
        <v>288.98</v>
      </c>
      <c r="G10" s="5">
        <f>F10*E10</f>
        <v>260.9157073</v>
      </c>
      <c r="H10" s="5">
        <v>24.4</v>
      </c>
      <c r="I10" s="27">
        <v>12</v>
      </c>
      <c r="J10" s="26">
        <f>G10*I10+H10</f>
        <v>3155.3884876</v>
      </c>
      <c r="K10" s="30"/>
      <c r="L10" s="30"/>
    </row>
    <row r="11" spans="1:12" ht="67.5" customHeight="1">
      <c r="A11" s="4">
        <v>2</v>
      </c>
      <c r="B11" s="46" t="s">
        <v>20</v>
      </c>
      <c r="C11" s="47"/>
      <c r="D11" s="5">
        <v>1</v>
      </c>
      <c r="E11" s="11">
        <v>0.902885</v>
      </c>
      <c r="F11" s="5">
        <v>505.59</v>
      </c>
      <c r="G11" s="5">
        <f aca="true" t="shared" si="0" ref="G11:G41">F11*E11</f>
        <v>456.48962715</v>
      </c>
      <c r="H11" s="26">
        <v>62012.61</v>
      </c>
      <c r="I11" s="26">
        <v>30500</v>
      </c>
      <c r="J11" s="26">
        <f aca="true" t="shared" si="1" ref="J11:J41">G11*I11+H11</f>
        <v>13984946.238075</v>
      </c>
      <c r="K11" s="30"/>
      <c r="L11" s="30"/>
    </row>
    <row r="12" spans="1:12" ht="94.5" customHeight="1">
      <c r="A12" s="4">
        <v>3</v>
      </c>
      <c r="B12" s="46" t="s">
        <v>21</v>
      </c>
      <c r="C12" s="47"/>
      <c r="D12" s="5">
        <v>1</v>
      </c>
      <c r="E12" s="11">
        <v>0.902885</v>
      </c>
      <c r="F12" s="5">
        <v>295.37</v>
      </c>
      <c r="G12" s="5">
        <f t="shared" si="0"/>
        <v>266.68514245</v>
      </c>
      <c r="H12" s="26">
        <v>125232.95</v>
      </c>
      <c r="I12" s="26">
        <v>61594</v>
      </c>
      <c r="J12" s="26">
        <f t="shared" si="1"/>
        <v>16551437.614065299</v>
      </c>
      <c r="K12" s="30"/>
      <c r="L12" s="30"/>
    </row>
    <row r="13" spans="1:12" ht="63" customHeight="1">
      <c r="A13" s="4">
        <v>4</v>
      </c>
      <c r="B13" s="46" t="s">
        <v>22</v>
      </c>
      <c r="C13" s="47"/>
      <c r="D13" s="5">
        <v>1</v>
      </c>
      <c r="E13" s="11">
        <v>0.902885</v>
      </c>
      <c r="F13" s="5">
        <v>400.35</v>
      </c>
      <c r="G13" s="5">
        <f t="shared" si="0"/>
        <v>361.47000975000003</v>
      </c>
      <c r="H13" s="26">
        <v>6935.25</v>
      </c>
      <c r="I13" s="26">
        <v>3411</v>
      </c>
      <c r="J13" s="26">
        <f t="shared" si="1"/>
        <v>1239909.4532572501</v>
      </c>
      <c r="K13" s="30"/>
      <c r="L13" s="30"/>
    </row>
    <row r="14" spans="1:12" ht="61.5" customHeight="1">
      <c r="A14" s="4">
        <v>5</v>
      </c>
      <c r="B14" s="46" t="s">
        <v>23</v>
      </c>
      <c r="C14" s="47"/>
      <c r="D14" s="5">
        <v>1</v>
      </c>
      <c r="E14" s="11">
        <v>0.902885</v>
      </c>
      <c r="F14" s="5">
        <v>270445.57</v>
      </c>
      <c r="G14" s="5">
        <f t="shared" si="0"/>
        <v>244181.24846945002</v>
      </c>
      <c r="H14" s="40">
        <v>2033.2</v>
      </c>
      <c r="I14" s="26">
        <v>1</v>
      </c>
      <c r="J14" s="26">
        <f t="shared" si="1"/>
        <v>246214.44846945003</v>
      </c>
      <c r="K14" s="30"/>
      <c r="L14" s="30"/>
    </row>
    <row r="15" spans="1:12" ht="71.25" customHeight="1">
      <c r="A15" s="4">
        <v>6</v>
      </c>
      <c r="B15" s="46" t="s">
        <v>24</v>
      </c>
      <c r="C15" s="47"/>
      <c r="D15" s="5">
        <v>1</v>
      </c>
      <c r="E15" s="11">
        <v>0.902885</v>
      </c>
      <c r="F15" s="5">
        <v>388467.57</v>
      </c>
      <c r="G15" s="5">
        <f t="shared" si="0"/>
        <v>350741.54193945</v>
      </c>
      <c r="H15" s="40">
        <v>15978.92</v>
      </c>
      <c r="I15" s="26">
        <v>7.859</v>
      </c>
      <c r="J15" s="26">
        <f t="shared" si="1"/>
        <v>2772456.6981021375</v>
      </c>
      <c r="K15" s="30"/>
      <c r="L15" s="30"/>
    </row>
    <row r="16" spans="1:12" ht="65.25" customHeight="1">
      <c r="A16" s="4">
        <v>7</v>
      </c>
      <c r="B16" s="46" t="s">
        <v>25</v>
      </c>
      <c r="C16" s="47"/>
      <c r="D16" s="5">
        <v>1</v>
      </c>
      <c r="E16" s="11">
        <v>0.902885</v>
      </c>
      <c r="F16" s="5">
        <v>347.3</v>
      </c>
      <c r="G16" s="5">
        <f t="shared" si="0"/>
        <v>313.57196050000005</v>
      </c>
      <c r="H16" s="40">
        <v>146.39</v>
      </c>
      <c r="I16" s="26">
        <v>72</v>
      </c>
      <c r="J16" s="26">
        <f t="shared" si="1"/>
        <v>22723.571156</v>
      </c>
      <c r="K16" s="30"/>
      <c r="L16" s="30"/>
    </row>
    <row r="17" spans="1:12" ht="87" customHeight="1">
      <c r="A17" s="4">
        <v>8</v>
      </c>
      <c r="B17" s="46" t="s">
        <v>26</v>
      </c>
      <c r="C17" s="47"/>
      <c r="D17" s="5">
        <v>1</v>
      </c>
      <c r="E17" s="11">
        <v>0.902885</v>
      </c>
      <c r="F17" s="5">
        <v>217.22</v>
      </c>
      <c r="G17" s="5">
        <f t="shared" si="0"/>
        <v>196.1246797</v>
      </c>
      <c r="H17" s="40">
        <v>945.44</v>
      </c>
      <c r="I17" s="26">
        <v>465</v>
      </c>
      <c r="J17" s="26">
        <f t="shared" si="1"/>
        <v>92143.4160605</v>
      </c>
      <c r="K17" s="30"/>
      <c r="L17" s="30"/>
    </row>
    <row r="18" spans="1:12" ht="72" customHeight="1">
      <c r="A18" s="4">
        <v>9</v>
      </c>
      <c r="B18" s="46" t="s">
        <v>27</v>
      </c>
      <c r="C18" s="47"/>
      <c r="D18" s="5">
        <v>1</v>
      </c>
      <c r="E18" s="11">
        <v>0.902885</v>
      </c>
      <c r="F18" s="5">
        <v>650.68</v>
      </c>
      <c r="G18" s="5">
        <f t="shared" si="0"/>
        <v>587.4892118</v>
      </c>
      <c r="H18" s="40">
        <v>945.44</v>
      </c>
      <c r="I18" s="26">
        <v>465</v>
      </c>
      <c r="J18" s="26">
        <f t="shared" si="1"/>
        <v>274127.923487</v>
      </c>
      <c r="K18" s="30"/>
      <c r="L18" s="30"/>
    </row>
    <row r="19" spans="1:12" ht="51.75" customHeight="1">
      <c r="A19" s="4">
        <v>10</v>
      </c>
      <c r="B19" s="48" t="s">
        <v>28</v>
      </c>
      <c r="C19" s="48"/>
      <c r="D19" s="5">
        <v>1</v>
      </c>
      <c r="E19" s="11">
        <v>0.902885</v>
      </c>
      <c r="F19" s="5">
        <v>164.18</v>
      </c>
      <c r="G19" s="5">
        <f t="shared" si="0"/>
        <v>148.2356593</v>
      </c>
      <c r="H19" s="40">
        <v>325515.38</v>
      </c>
      <c r="I19" s="26">
        <v>160100</v>
      </c>
      <c r="J19" s="26">
        <f>G19*I19+H19-8.47</f>
        <v>24058035.963930003</v>
      </c>
      <c r="K19" s="30"/>
      <c r="L19" s="30"/>
    </row>
    <row r="20" spans="1:12" ht="54" customHeight="1">
      <c r="A20" s="4">
        <v>11</v>
      </c>
      <c r="B20" s="46" t="s">
        <v>29</v>
      </c>
      <c r="C20" s="47"/>
      <c r="D20" s="5">
        <v>1</v>
      </c>
      <c r="E20" s="11">
        <v>0.902885</v>
      </c>
      <c r="F20" s="5">
        <v>414.47</v>
      </c>
      <c r="G20" s="5">
        <f t="shared" si="0"/>
        <v>374.21874595</v>
      </c>
      <c r="H20" s="26">
        <v>1783.12</v>
      </c>
      <c r="I20" s="26">
        <v>877</v>
      </c>
      <c r="J20" s="26">
        <f t="shared" si="1"/>
        <v>329972.96019815</v>
      </c>
      <c r="K20" s="30"/>
      <c r="L20" s="30"/>
    </row>
    <row r="21" spans="1:12" ht="67.5" customHeight="1">
      <c r="A21" s="4">
        <v>12</v>
      </c>
      <c r="B21" s="46" t="s">
        <v>30</v>
      </c>
      <c r="C21" s="47"/>
      <c r="D21" s="5">
        <v>1</v>
      </c>
      <c r="E21" s="11">
        <v>0.902885</v>
      </c>
      <c r="F21" s="5">
        <v>637.22</v>
      </c>
      <c r="G21" s="5">
        <f t="shared" si="0"/>
        <v>575.3363797000001</v>
      </c>
      <c r="H21" s="26">
        <v>7476.08</v>
      </c>
      <c r="I21" s="26">
        <v>3677</v>
      </c>
      <c r="J21" s="26">
        <f t="shared" si="1"/>
        <v>2122987.9481569002</v>
      </c>
      <c r="K21" s="30"/>
      <c r="L21" s="30"/>
    </row>
    <row r="22" spans="1:12" ht="57.75" customHeight="1">
      <c r="A22" s="4">
        <v>13</v>
      </c>
      <c r="B22" s="46" t="s">
        <v>31</v>
      </c>
      <c r="C22" s="47"/>
      <c r="D22" s="5">
        <v>1</v>
      </c>
      <c r="E22" s="11">
        <v>0.902885</v>
      </c>
      <c r="F22" s="5">
        <v>196.4</v>
      </c>
      <c r="G22" s="5">
        <f t="shared" si="0"/>
        <v>177.326614</v>
      </c>
      <c r="H22" s="26">
        <v>28.46</v>
      </c>
      <c r="I22" s="26">
        <v>14</v>
      </c>
      <c r="J22" s="26">
        <f t="shared" si="1"/>
        <v>2511.032596</v>
      </c>
      <c r="K22" s="30"/>
      <c r="L22" s="30"/>
    </row>
    <row r="23" spans="1:12" ht="52.5" customHeight="1">
      <c r="A23" s="4">
        <v>14</v>
      </c>
      <c r="B23" s="46" t="s">
        <v>32</v>
      </c>
      <c r="C23" s="47"/>
      <c r="D23" s="5">
        <v>1</v>
      </c>
      <c r="E23" s="11">
        <v>0.902885</v>
      </c>
      <c r="F23" s="5">
        <v>2418.04</v>
      </c>
      <c r="G23" s="5">
        <f t="shared" si="0"/>
        <v>2183.2120454</v>
      </c>
      <c r="H23" s="26">
        <v>559.13</v>
      </c>
      <c r="I23" s="26">
        <v>275</v>
      </c>
      <c r="J23" s="26">
        <f t="shared" si="1"/>
        <v>600942.442485</v>
      </c>
      <c r="K23" s="30"/>
      <c r="L23" s="30"/>
    </row>
    <row r="24" spans="1:12" ht="54" customHeight="1">
      <c r="A24" s="4">
        <v>15</v>
      </c>
      <c r="B24" s="46" t="s">
        <v>33</v>
      </c>
      <c r="C24" s="47"/>
      <c r="D24" s="5">
        <v>1</v>
      </c>
      <c r="E24" s="11">
        <v>0.902885</v>
      </c>
      <c r="F24" s="5">
        <v>224.95</v>
      </c>
      <c r="G24" s="5">
        <f t="shared" si="0"/>
        <v>203.10398075</v>
      </c>
      <c r="H24" s="26">
        <v>5692.96</v>
      </c>
      <c r="I24" s="26">
        <v>2800</v>
      </c>
      <c r="J24" s="26">
        <f t="shared" si="1"/>
        <v>574384.1061</v>
      </c>
      <c r="K24" s="30"/>
      <c r="L24" s="30"/>
    </row>
    <row r="25" spans="1:12" ht="54" customHeight="1">
      <c r="A25" s="4">
        <v>16</v>
      </c>
      <c r="B25" s="48" t="s">
        <v>34</v>
      </c>
      <c r="C25" s="48"/>
      <c r="D25" s="5">
        <v>1</v>
      </c>
      <c r="E25" s="11">
        <v>0.902885</v>
      </c>
      <c r="F25" s="5">
        <v>217.22</v>
      </c>
      <c r="G25" s="5">
        <f t="shared" si="0"/>
        <v>196.1246797</v>
      </c>
      <c r="H25" s="26">
        <v>134.19</v>
      </c>
      <c r="I25" s="26">
        <v>66</v>
      </c>
      <c r="J25" s="26">
        <f t="shared" si="1"/>
        <v>13078.418860200001</v>
      </c>
      <c r="K25" s="30"/>
      <c r="L25" s="30"/>
    </row>
    <row r="26" spans="1:12" ht="54" customHeight="1">
      <c r="A26" s="4">
        <v>17</v>
      </c>
      <c r="B26" s="48" t="s">
        <v>35</v>
      </c>
      <c r="C26" s="48"/>
      <c r="D26" s="5">
        <v>1</v>
      </c>
      <c r="E26" s="11">
        <v>0.902885</v>
      </c>
      <c r="F26" s="5">
        <v>606.46</v>
      </c>
      <c r="G26" s="5">
        <f t="shared" si="0"/>
        <v>547.5636371</v>
      </c>
      <c r="H26" s="26">
        <v>134.19</v>
      </c>
      <c r="I26" s="26">
        <v>66</v>
      </c>
      <c r="J26" s="26">
        <f t="shared" si="1"/>
        <v>36273.390048600006</v>
      </c>
      <c r="K26" s="30"/>
      <c r="L26" s="30"/>
    </row>
    <row r="27" spans="1:12" ht="86.25" customHeight="1">
      <c r="A27" s="4">
        <v>18</v>
      </c>
      <c r="B27" s="48" t="s">
        <v>36</v>
      </c>
      <c r="C27" s="48"/>
      <c r="D27" s="5">
        <v>1</v>
      </c>
      <c r="E27" s="11">
        <v>0.902885</v>
      </c>
      <c r="F27" s="5">
        <v>678.46</v>
      </c>
      <c r="G27" s="5">
        <f t="shared" si="0"/>
        <v>612.5713571000001</v>
      </c>
      <c r="H27" s="26">
        <v>776.68</v>
      </c>
      <c r="I27" s="26">
        <v>382</v>
      </c>
      <c r="J27" s="26">
        <f t="shared" si="1"/>
        <v>234778.93841220005</v>
      </c>
      <c r="K27" s="30"/>
      <c r="L27" s="30"/>
    </row>
    <row r="28" spans="1:12" ht="81" customHeight="1">
      <c r="A28" s="4">
        <v>19</v>
      </c>
      <c r="B28" s="46" t="s">
        <v>37</v>
      </c>
      <c r="C28" s="47"/>
      <c r="D28" s="5">
        <v>1</v>
      </c>
      <c r="E28" s="11">
        <v>0.902885</v>
      </c>
      <c r="F28" s="5">
        <v>199.4</v>
      </c>
      <c r="G28" s="5">
        <f t="shared" si="0"/>
        <v>180.03526900000003</v>
      </c>
      <c r="H28" s="26">
        <v>217.55</v>
      </c>
      <c r="I28" s="26">
        <v>107</v>
      </c>
      <c r="J28" s="26">
        <f t="shared" si="1"/>
        <v>19481.323783000003</v>
      </c>
      <c r="K28" s="30"/>
      <c r="L28" s="30"/>
    </row>
    <row r="29" spans="1:12" ht="73.5" customHeight="1">
      <c r="A29" s="4">
        <v>20</v>
      </c>
      <c r="B29" s="46" t="s">
        <v>38</v>
      </c>
      <c r="C29" s="47"/>
      <c r="D29" s="5">
        <v>1</v>
      </c>
      <c r="E29" s="11">
        <v>0.902885</v>
      </c>
      <c r="F29" s="5">
        <v>2034.76</v>
      </c>
      <c r="G29" s="5">
        <f t="shared" si="0"/>
        <v>1837.1542826</v>
      </c>
      <c r="H29" s="26">
        <v>652.66</v>
      </c>
      <c r="I29" s="26">
        <v>321</v>
      </c>
      <c r="J29" s="26">
        <f t="shared" si="1"/>
        <v>590379.1847146</v>
      </c>
      <c r="K29" s="26">
        <f>SUM(J10:J29)</f>
        <v>63769940.46044489</v>
      </c>
      <c r="L29" s="30"/>
    </row>
    <row r="30" spans="1:12" ht="97.5" customHeight="1">
      <c r="A30" s="14">
        <v>21</v>
      </c>
      <c r="B30" s="43" t="s">
        <v>39</v>
      </c>
      <c r="C30" s="43"/>
      <c r="D30" s="5">
        <v>1</v>
      </c>
      <c r="E30" s="5">
        <v>1</v>
      </c>
      <c r="F30" s="12">
        <v>16561.26</v>
      </c>
      <c r="G30" s="5">
        <f t="shared" si="0"/>
        <v>16561.26</v>
      </c>
      <c r="H30" s="26">
        <v>0</v>
      </c>
      <c r="I30" s="26">
        <v>18</v>
      </c>
      <c r="J30" s="26">
        <f t="shared" si="1"/>
        <v>298102.68</v>
      </c>
      <c r="K30" s="32"/>
      <c r="L30" s="30"/>
    </row>
    <row r="31" spans="1:12" ht="63.75" customHeight="1">
      <c r="A31" s="14">
        <v>22</v>
      </c>
      <c r="B31" s="43" t="s">
        <v>40</v>
      </c>
      <c r="C31" s="43"/>
      <c r="D31" s="5">
        <v>1</v>
      </c>
      <c r="E31" s="5">
        <v>1</v>
      </c>
      <c r="F31" s="13">
        <v>16561.26</v>
      </c>
      <c r="G31" s="5">
        <f t="shared" si="0"/>
        <v>16561.26</v>
      </c>
      <c r="H31" s="26">
        <v>0</v>
      </c>
      <c r="I31" s="26">
        <v>1</v>
      </c>
      <c r="J31" s="26">
        <f t="shared" si="1"/>
        <v>16561.26</v>
      </c>
      <c r="K31" s="33"/>
      <c r="L31" s="30"/>
    </row>
    <row r="32" spans="1:12" ht="76.5" customHeight="1">
      <c r="A32" s="14">
        <v>23</v>
      </c>
      <c r="B32" s="43" t="s">
        <v>41</v>
      </c>
      <c r="C32" s="43"/>
      <c r="D32" s="5">
        <v>1</v>
      </c>
      <c r="E32" s="5">
        <v>1</v>
      </c>
      <c r="F32" s="13">
        <v>1449.76</v>
      </c>
      <c r="G32" s="5">
        <f t="shared" si="0"/>
        <v>1449.76</v>
      </c>
      <c r="H32" s="26">
        <v>0</v>
      </c>
      <c r="I32" s="26">
        <v>650</v>
      </c>
      <c r="J32" s="26">
        <f>G32*I32+H32-0.07</f>
        <v>942343.93</v>
      </c>
      <c r="K32" s="30"/>
      <c r="L32" s="30"/>
    </row>
    <row r="33" spans="1:12" ht="66.75" customHeight="1">
      <c r="A33" s="14">
        <v>24</v>
      </c>
      <c r="B33" s="43" t="s">
        <v>42</v>
      </c>
      <c r="C33" s="43"/>
      <c r="D33" s="5">
        <v>1</v>
      </c>
      <c r="E33" s="5">
        <v>1</v>
      </c>
      <c r="F33" s="13">
        <v>1135.45</v>
      </c>
      <c r="G33" s="5">
        <f t="shared" si="0"/>
        <v>1135.45</v>
      </c>
      <c r="H33" s="26">
        <v>0</v>
      </c>
      <c r="I33" s="26">
        <v>60</v>
      </c>
      <c r="J33" s="26">
        <f t="shared" si="1"/>
        <v>68127</v>
      </c>
      <c r="K33" s="30"/>
      <c r="L33" s="30"/>
    </row>
    <row r="34" spans="1:12" ht="83.25" customHeight="1">
      <c r="A34" s="14">
        <v>25</v>
      </c>
      <c r="B34" s="43" t="s">
        <v>43</v>
      </c>
      <c r="C34" s="43"/>
      <c r="D34" s="5">
        <v>1</v>
      </c>
      <c r="E34" s="5">
        <v>1</v>
      </c>
      <c r="F34" s="13">
        <v>1135.45</v>
      </c>
      <c r="G34" s="5">
        <f t="shared" si="0"/>
        <v>1135.45</v>
      </c>
      <c r="H34" s="26">
        <v>0</v>
      </c>
      <c r="I34" s="26">
        <v>20</v>
      </c>
      <c r="J34" s="26">
        <f t="shared" si="1"/>
        <v>22709</v>
      </c>
      <c r="K34" s="30"/>
      <c r="L34" s="30"/>
    </row>
    <row r="35" spans="1:12" ht="79.5" customHeight="1">
      <c r="A35" s="14">
        <v>26</v>
      </c>
      <c r="B35" s="43" t="s">
        <v>44</v>
      </c>
      <c r="C35" s="43"/>
      <c r="D35" s="5">
        <v>1</v>
      </c>
      <c r="E35" s="5">
        <v>1</v>
      </c>
      <c r="F35" s="13">
        <v>1552.44</v>
      </c>
      <c r="G35" s="5">
        <f t="shared" si="0"/>
        <v>1552.44</v>
      </c>
      <c r="H35" s="26">
        <v>0</v>
      </c>
      <c r="I35" s="26">
        <v>100</v>
      </c>
      <c r="J35" s="26">
        <f t="shared" si="1"/>
        <v>155244</v>
      </c>
      <c r="K35" s="30"/>
      <c r="L35" s="30"/>
    </row>
    <row r="36" spans="1:12" ht="42.75" customHeight="1">
      <c r="A36" s="14">
        <v>27</v>
      </c>
      <c r="B36" s="43" t="s">
        <v>45</v>
      </c>
      <c r="C36" s="43"/>
      <c r="D36" s="5">
        <v>1</v>
      </c>
      <c r="E36" s="5">
        <v>1</v>
      </c>
      <c r="F36" s="13">
        <v>1238.7</v>
      </c>
      <c r="G36" s="5">
        <f t="shared" si="0"/>
        <v>1238.7</v>
      </c>
      <c r="H36" s="26">
        <v>0</v>
      </c>
      <c r="I36" s="26">
        <v>10</v>
      </c>
      <c r="J36" s="26">
        <f t="shared" si="1"/>
        <v>12387</v>
      </c>
      <c r="K36" s="30"/>
      <c r="L36" s="30"/>
    </row>
    <row r="37" spans="1:12" ht="100.5" customHeight="1">
      <c r="A37" s="14">
        <v>28</v>
      </c>
      <c r="B37" s="43" t="s">
        <v>46</v>
      </c>
      <c r="C37" s="43"/>
      <c r="D37" s="5">
        <v>1</v>
      </c>
      <c r="E37" s="5">
        <v>1</v>
      </c>
      <c r="F37" s="13">
        <v>1147.45</v>
      </c>
      <c r="G37" s="5">
        <f t="shared" si="0"/>
        <v>1147.45</v>
      </c>
      <c r="H37" s="26">
        <v>0</v>
      </c>
      <c r="I37" s="26">
        <v>5</v>
      </c>
      <c r="J37" s="26">
        <f t="shared" si="1"/>
        <v>5737.25</v>
      </c>
      <c r="K37" s="26">
        <f>SUM(J30:J37)</f>
        <v>1521212.12</v>
      </c>
      <c r="L37" s="34" t="s">
        <v>52</v>
      </c>
    </row>
    <row r="38" spans="1:12" ht="52.5" customHeight="1">
      <c r="A38" s="14">
        <v>29</v>
      </c>
      <c r="B38" s="43" t="s">
        <v>47</v>
      </c>
      <c r="C38" s="43"/>
      <c r="D38" s="5">
        <v>1</v>
      </c>
      <c r="E38" s="5">
        <v>1</v>
      </c>
      <c r="F38" s="13">
        <v>289.85</v>
      </c>
      <c r="G38" s="27">
        <f t="shared" si="0"/>
        <v>289.85</v>
      </c>
      <c r="H38" s="26">
        <v>0</v>
      </c>
      <c r="I38" s="26">
        <v>7008</v>
      </c>
      <c r="J38" s="26">
        <f t="shared" si="1"/>
        <v>2031268.8</v>
      </c>
      <c r="K38" s="32"/>
      <c r="L38" s="30"/>
    </row>
    <row r="39" spans="1:12" ht="52.5" customHeight="1">
      <c r="A39" s="14">
        <v>30</v>
      </c>
      <c r="B39" s="44" t="s">
        <v>48</v>
      </c>
      <c r="C39" s="44"/>
      <c r="D39" s="5">
        <v>1</v>
      </c>
      <c r="E39" s="5">
        <v>1</v>
      </c>
      <c r="F39" s="13">
        <v>2402.46</v>
      </c>
      <c r="G39" s="27">
        <f t="shared" si="0"/>
        <v>2402.46</v>
      </c>
      <c r="H39" s="26">
        <v>0</v>
      </c>
      <c r="I39" s="26">
        <v>496</v>
      </c>
      <c r="J39" s="26">
        <f t="shared" si="1"/>
        <v>1191620.16</v>
      </c>
      <c r="K39" s="32"/>
      <c r="L39" s="33"/>
    </row>
    <row r="40" spans="1:12" ht="62.25" customHeight="1">
      <c r="A40" s="14">
        <v>31</v>
      </c>
      <c r="B40" s="44" t="s">
        <v>49</v>
      </c>
      <c r="C40" s="44"/>
      <c r="D40" s="5">
        <v>1</v>
      </c>
      <c r="E40" s="5">
        <v>1</v>
      </c>
      <c r="F40" s="13">
        <v>8498.96</v>
      </c>
      <c r="G40" s="27">
        <f t="shared" si="0"/>
        <v>8498.96</v>
      </c>
      <c r="H40" s="26">
        <v>0</v>
      </c>
      <c r="I40" s="26">
        <v>125</v>
      </c>
      <c r="J40" s="26">
        <f t="shared" si="1"/>
        <v>1062370</v>
      </c>
      <c r="K40" s="32"/>
      <c r="L40" s="33"/>
    </row>
    <row r="41" spans="1:12" ht="60.75" customHeight="1">
      <c r="A41" s="14">
        <v>32</v>
      </c>
      <c r="B41" s="44" t="s">
        <v>50</v>
      </c>
      <c r="C41" s="44"/>
      <c r="D41" s="5">
        <v>1</v>
      </c>
      <c r="E41" s="5">
        <v>1</v>
      </c>
      <c r="F41" s="13">
        <v>159192.33</v>
      </c>
      <c r="G41" s="27">
        <f t="shared" si="0"/>
        <v>159192.33</v>
      </c>
      <c r="H41" s="26">
        <v>0</v>
      </c>
      <c r="I41" s="26">
        <v>26</v>
      </c>
      <c r="J41" s="26">
        <f t="shared" si="1"/>
        <v>4139000.5799999996</v>
      </c>
      <c r="K41" s="26">
        <f>SUM(J38:J41)</f>
        <v>8424259.54</v>
      </c>
      <c r="L41" s="34" t="s">
        <v>53</v>
      </c>
    </row>
    <row r="42" spans="11:12" ht="12.75">
      <c r="K42" s="32">
        <f>K29+K37+K41</f>
        <v>73715412.1204449</v>
      </c>
      <c r="L42" s="33" t="s">
        <v>59</v>
      </c>
    </row>
  </sheetData>
  <sheetProtection/>
  <mergeCells count="44">
    <mergeCell ref="B36:C36"/>
    <mergeCell ref="B37:C37"/>
    <mergeCell ref="B30:C30"/>
    <mergeCell ref="B31:C31"/>
    <mergeCell ref="B32:C32"/>
    <mergeCell ref="B33:C33"/>
    <mergeCell ref="B34:C34"/>
    <mergeCell ref="B35:C35"/>
    <mergeCell ref="B29:C29"/>
    <mergeCell ref="B16:C16"/>
    <mergeCell ref="B17:C17"/>
    <mergeCell ref="B18:C18"/>
    <mergeCell ref="B20:C20"/>
    <mergeCell ref="B21:C21"/>
    <mergeCell ref="B22:C22"/>
    <mergeCell ref="B24:C24"/>
    <mergeCell ref="B25:C25"/>
    <mergeCell ref="B26:C26"/>
    <mergeCell ref="A6:A7"/>
    <mergeCell ref="D6:D7"/>
    <mergeCell ref="E6:E7"/>
    <mergeCell ref="G6:G7"/>
    <mergeCell ref="H6:H7"/>
    <mergeCell ref="B3:H3"/>
    <mergeCell ref="B4:H4"/>
    <mergeCell ref="B6:C7"/>
    <mergeCell ref="B14:C14"/>
    <mergeCell ref="B15:C15"/>
    <mergeCell ref="B8:C8"/>
    <mergeCell ref="B10:C10"/>
    <mergeCell ref="G1:H1"/>
    <mergeCell ref="B12:C12"/>
    <mergeCell ref="B13:C13"/>
    <mergeCell ref="B9:H9"/>
    <mergeCell ref="B38:C38"/>
    <mergeCell ref="B39:C39"/>
    <mergeCell ref="B40:C40"/>
    <mergeCell ref="B41:C41"/>
    <mergeCell ref="F6:F7"/>
    <mergeCell ref="B28:C28"/>
    <mergeCell ref="B23:C23"/>
    <mergeCell ref="B27:C27"/>
    <mergeCell ref="B19:C19"/>
    <mergeCell ref="B11:C11"/>
  </mergeCells>
  <printOptions/>
  <pageMargins left="1.220472440944882" right="0.2362204724409449" top="1.0236220472440944" bottom="0.6299212598425197" header="0.2362204724409449" footer="0.2362204724409449"/>
  <pageSetup fitToHeight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3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2" max="3" width="27.57421875" style="0" customWidth="1"/>
    <col min="4" max="4" width="20.140625" style="0" hidden="1" customWidth="1"/>
    <col min="5" max="5" width="20.140625" style="0" customWidth="1"/>
    <col min="6" max="6" width="18.7109375" style="0" customWidth="1"/>
    <col min="7" max="7" width="19.7109375" style="0" customWidth="1"/>
    <col min="8" max="9" width="20.140625" style="0" hidden="1" customWidth="1"/>
    <col min="10" max="10" width="20.421875" style="0" hidden="1" customWidth="1"/>
    <col min="11" max="11" width="12.7109375" style="0" hidden="1" customWidth="1"/>
    <col min="12" max="12" width="14.140625" style="0" hidden="1" customWidth="1"/>
    <col min="13" max="13" width="13.00390625" style="0" hidden="1" customWidth="1"/>
  </cols>
  <sheetData>
    <row r="1" spans="1:10" ht="77.25" customHeight="1">
      <c r="A1" s="15"/>
      <c r="B1" s="15"/>
      <c r="C1" s="1"/>
      <c r="D1" s="1"/>
      <c r="E1" s="1"/>
      <c r="F1" s="58" t="s">
        <v>11</v>
      </c>
      <c r="G1" s="58"/>
      <c r="H1" s="15"/>
      <c r="I1" s="15"/>
      <c r="J1" s="8"/>
    </row>
    <row r="2" spans="2:9" ht="15">
      <c r="B2" s="1"/>
      <c r="C2" s="1"/>
      <c r="D2" s="1"/>
      <c r="E2" s="1"/>
      <c r="F2" s="1"/>
      <c r="G2" s="1"/>
      <c r="H2" s="1"/>
      <c r="I2" s="1"/>
    </row>
    <row r="3" spans="2:9" ht="63.75" customHeight="1">
      <c r="B3" s="54" t="s">
        <v>12</v>
      </c>
      <c r="C3" s="55"/>
      <c r="D3" s="55"/>
      <c r="E3" s="55"/>
      <c r="F3" s="55"/>
      <c r="G3" s="55"/>
      <c r="H3" s="55"/>
      <c r="I3" s="55"/>
    </row>
    <row r="4" spans="2:9" ht="10.5" customHeight="1">
      <c r="B4" s="54"/>
      <c r="C4" s="54"/>
      <c r="D4" s="54"/>
      <c r="E4" s="54"/>
      <c r="F4" s="54"/>
      <c r="G4" s="54"/>
      <c r="H4" s="54"/>
      <c r="I4" s="54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27.75" customHeight="1">
      <c r="A6" s="53" t="s">
        <v>0</v>
      </c>
      <c r="B6" s="45" t="s">
        <v>13</v>
      </c>
      <c r="C6" s="45"/>
      <c r="D6" s="45" t="s">
        <v>19</v>
      </c>
      <c r="E6" s="45" t="s">
        <v>6</v>
      </c>
      <c r="F6" s="45" t="s">
        <v>7</v>
      </c>
      <c r="G6" s="61" t="s">
        <v>8</v>
      </c>
      <c r="H6" s="45" t="s">
        <v>4</v>
      </c>
      <c r="I6" s="63" t="s">
        <v>5</v>
      </c>
    </row>
    <row r="7" spans="1:9" ht="104.25" customHeight="1">
      <c r="A7" s="53"/>
      <c r="B7" s="45"/>
      <c r="C7" s="45"/>
      <c r="D7" s="45"/>
      <c r="E7" s="45"/>
      <c r="F7" s="45"/>
      <c r="G7" s="62"/>
      <c r="H7" s="45"/>
      <c r="I7" s="64"/>
    </row>
    <row r="8" spans="1:9" ht="15">
      <c r="A8" s="2">
        <v>1</v>
      </c>
      <c r="B8" s="49">
        <v>2</v>
      </c>
      <c r="C8" s="50"/>
      <c r="D8" s="9" t="s">
        <v>18</v>
      </c>
      <c r="E8" s="18">
        <v>3</v>
      </c>
      <c r="F8" s="9">
        <v>4</v>
      </c>
      <c r="G8" s="9">
        <v>5</v>
      </c>
      <c r="H8" s="9">
        <v>5</v>
      </c>
      <c r="I8" s="9">
        <v>6</v>
      </c>
    </row>
    <row r="9" spans="1:12" ht="29.25" customHeight="1">
      <c r="A9" s="3"/>
      <c r="B9" s="59" t="s">
        <v>10</v>
      </c>
      <c r="C9" s="60"/>
      <c r="D9" s="60"/>
      <c r="E9" s="60"/>
      <c r="F9" s="60"/>
      <c r="G9" s="60"/>
      <c r="H9" s="60"/>
      <c r="I9" s="60"/>
      <c r="J9" s="19" t="s">
        <v>14</v>
      </c>
      <c r="K9" s="19" t="s">
        <v>15</v>
      </c>
      <c r="L9" s="19" t="s">
        <v>16</v>
      </c>
    </row>
    <row r="10" spans="1:12" ht="65.25" customHeight="1">
      <c r="A10" s="4">
        <v>1</v>
      </c>
      <c r="B10" s="46" t="s">
        <v>17</v>
      </c>
      <c r="C10" s="47"/>
      <c r="D10" s="5">
        <v>269.87</v>
      </c>
      <c r="E10" s="5">
        <v>288.98</v>
      </c>
      <c r="F10" s="5">
        <v>1</v>
      </c>
      <c r="G10" s="11">
        <v>0.902885</v>
      </c>
      <c r="H10" s="5">
        <f>438.25</f>
        <v>438.25</v>
      </c>
      <c r="I10" s="5">
        <f>82.83+200.65</f>
        <v>283.48</v>
      </c>
      <c r="J10" s="6">
        <v>12</v>
      </c>
      <c r="K10" s="20">
        <v>24.4</v>
      </c>
      <c r="L10" s="6">
        <f aca="true" t="shared" si="0" ref="L10:L41">E10*J10+K10</f>
        <v>3492.1600000000003</v>
      </c>
    </row>
    <row r="11" spans="1:12" ht="67.5" customHeight="1">
      <c r="A11" s="4">
        <v>2</v>
      </c>
      <c r="B11" s="46" t="s">
        <v>20</v>
      </c>
      <c r="C11" s="47"/>
      <c r="D11" s="5">
        <v>459.69</v>
      </c>
      <c r="E11" s="5">
        <v>505.59</v>
      </c>
      <c r="F11" s="5">
        <v>1</v>
      </c>
      <c r="G11" s="11">
        <v>0.902885</v>
      </c>
      <c r="H11" s="5">
        <f>729.2</f>
        <v>729.2</v>
      </c>
      <c r="I11" s="5">
        <f>202300.19+490049.76</f>
        <v>692349.95</v>
      </c>
      <c r="J11" s="21">
        <v>30500</v>
      </c>
      <c r="K11" s="21">
        <v>62012.61</v>
      </c>
      <c r="L11" s="21">
        <f t="shared" si="0"/>
        <v>15482507.61</v>
      </c>
    </row>
    <row r="12" spans="1:12" ht="92.25" customHeight="1">
      <c r="A12" s="4">
        <v>3</v>
      </c>
      <c r="B12" s="46" t="s">
        <v>21</v>
      </c>
      <c r="C12" s="47"/>
      <c r="D12" s="5">
        <v>249.86</v>
      </c>
      <c r="E12" s="5">
        <v>295.37</v>
      </c>
      <c r="F12" s="5">
        <v>1</v>
      </c>
      <c r="G12" s="11">
        <v>0.902885</v>
      </c>
      <c r="H12" s="5">
        <f>228.46</f>
        <v>228.46</v>
      </c>
      <c r="I12" s="5">
        <f>150370.79+192425.4</f>
        <v>342796.19</v>
      </c>
      <c r="J12" s="21">
        <v>61594</v>
      </c>
      <c r="K12" s="21">
        <v>125232.95</v>
      </c>
      <c r="L12" s="21">
        <f t="shared" si="0"/>
        <v>18318252.73</v>
      </c>
    </row>
    <row r="13" spans="1:12" ht="63" customHeight="1">
      <c r="A13" s="4">
        <v>4</v>
      </c>
      <c r="B13" s="46" t="s">
        <v>22</v>
      </c>
      <c r="C13" s="47"/>
      <c r="D13" s="5">
        <v>364.27</v>
      </c>
      <c r="E13" s="5">
        <v>400.35</v>
      </c>
      <c r="F13" s="5">
        <v>1</v>
      </c>
      <c r="G13" s="11">
        <v>0.902885</v>
      </c>
      <c r="H13" s="5">
        <f>580.85</f>
        <v>580.85</v>
      </c>
      <c r="I13" s="5">
        <f>20672.58+50077.03</f>
        <v>70749.61</v>
      </c>
      <c r="J13" s="21">
        <v>3411</v>
      </c>
      <c r="K13" s="21">
        <v>6935.25</v>
      </c>
      <c r="L13" s="21">
        <f t="shared" si="0"/>
        <v>1372529.1</v>
      </c>
    </row>
    <row r="14" spans="1:12" ht="61.5" customHeight="1">
      <c r="A14" s="4">
        <v>5</v>
      </c>
      <c r="B14" s="46" t="s">
        <v>23</v>
      </c>
      <c r="C14" s="47"/>
      <c r="D14" s="5">
        <v>252570</v>
      </c>
      <c r="E14" s="5">
        <v>270445.57</v>
      </c>
      <c r="F14" s="5">
        <v>1</v>
      </c>
      <c r="G14" s="11">
        <v>0.902885</v>
      </c>
      <c r="H14" s="5">
        <f>363880</f>
        <v>363880</v>
      </c>
      <c r="I14" s="5">
        <f>7656.07+18545.99</f>
        <v>26202.06</v>
      </c>
      <c r="J14" s="21">
        <v>1</v>
      </c>
      <c r="K14" s="22">
        <v>2033.2</v>
      </c>
      <c r="L14" s="21">
        <f t="shared" si="0"/>
        <v>272478.77</v>
      </c>
    </row>
    <row r="15" spans="1:12" ht="57.75" customHeight="1">
      <c r="A15" s="4">
        <v>6</v>
      </c>
      <c r="B15" s="46" t="s">
        <v>24</v>
      </c>
      <c r="C15" s="47"/>
      <c r="D15" s="5">
        <v>356670</v>
      </c>
      <c r="E15" s="5">
        <v>388467.57</v>
      </c>
      <c r="F15" s="5">
        <v>1</v>
      </c>
      <c r="G15" s="11">
        <v>0.902885</v>
      </c>
      <c r="H15" s="5">
        <f>466090</f>
        <v>466090</v>
      </c>
      <c r="I15" s="5">
        <f>80394.68+194747.2</f>
        <v>275141.88</v>
      </c>
      <c r="J15" s="21">
        <v>7.859</v>
      </c>
      <c r="K15" s="22">
        <v>15978.92</v>
      </c>
      <c r="L15" s="21">
        <f t="shared" si="0"/>
        <v>3068945.55263</v>
      </c>
    </row>
    <row r="16" spans="1:12" ht="68.25" customHeight="1">
      <c r="A16" s="4">
        <v>7</v>
      </c>
      <c r="B16" s="46" t="s">
        <v>25</v>
      </c>
      <c r="C16" s="47"/>
      <c r="D16" s="5">
        <v>319.27</v>
      </c>
      <c r="E16" s="5">
        <v>347.3</v>
      </c>
      <c r="F16" s="5">
        <v>1</v>
      </c>
      <c r="G16" s="11">
        <v>0.902885</v>
      </c>
      <c r="H16" s="5">
        <f>429.24</f>
        <v>429.24</v>
      </c>
      <c r="I16" s="5">
        <f>502.91+1218.24</f>
        <v>1721.15</v>
      </c>
      <c r="J16" s="21">
        <v>72</v>
      </c>
      <c r="K16" s="22">
        <v>146.39</v>
      </c>
      <c r="L16" s="21">
        <f t="shared" si="0"/>
        <v>25151.99</v>
      </c>
    </row>
    <row r="17" spans="1:12" ht="80.25" customHeight="1">
      <c r="A17" s="4">
        <v>8</v>
      </c>
      <c r="B17" s="46" t="s">
        <v>26</v>
      </c>
      <c r="C17" s="47"/>
      <c r="D17" s="5">
        <v>204.66</v>
      </c>
      <c r="E17" s="5">
        <v>217.22</v>
      </c>
      <c r="F17" s="5">
        <v>1</v>
      </c>
      <c r="G17" s="11">
        <v>0.902885</v>
      </c>
      <c r="H17" s="5">
        <f>316.73</f>
        <v>316.73</v>
      </c>
      <c r="I17" s="5">
        <f>3916.79+9487.98</f>
        <v>13404.77</v>
      </c>
      <c r="J17" s="21">
        <v>465</v>
      </c>
      <c r="K17" s="22">
        <v>945.44</v>
      </c>
      <c r="L17" s="21">
        <f t="shared" si="0"/>
        <v>101952.74</v>
      </c>
    </row>
    <row r="18" spans="1:12" ht="81" customHeight="1">
      <c r="A18" s="4">
        <v>9</v>
      </c>
      <c r="B18" s="46" t="s">
        <v>27</v>
      </c>
      <c r="C18" s="47"/>
      <c r="D18" s="5">
        <v>587.05</v>
      </c>
      <c r="E18" s="5">
        <v>650.68</v>
      </c>
      <c r="F18" s="5">
        <v>1</v>
      </c>
      <c r="G18" s="11">
        <v>0.902885</v>
      </c>
      <c r="H18" s="5">
        <f>692.12</f>
        <v>692.12</v>
      </c>
      <c r="I18" s="5">
        <f>3916.79+9487.98</f>
        <v>13404.77</v>
      </c>
      <c r="J18" s="21">
        <v>465</v>
      </c>
      <c r="K18" s="22">
        <v>945.44</v>
      </c>
      <c r="L18" s="21">
        <f t="shared" si="0"/>
        <v>303511.63999999996</v>
      </c>
    </row>
    <row r="19" spans="1:12" ht="51.75" customHeight="1">
      <c r="A19" s="4">
        <v>10</v>
      </c>
      <c r="B19" s="56" t="s">
        <v>28</v>
      </c>
      <c r="C19" s="57"/>
      <c r="D19" s="5">
        <v>158.4</v>
      </c>
      <c r="E19" s="5">
        <v>164.18</v>
      </c>
      <c r="F19" s="5">
        <v>1</v>
      </c>
      <c r="G19" s="11">
        <v>0.902885</v>
      </c>
      <c r="H19" s="5">
        <f>298.35</f>
        <v>298.35</v>
      </c>
      <c r="I19" s="5">
        <f>43794.63+106087.63</f>
        <v>149882.26</v>
      </c>
      <c r="J19" s="21">
        <v>160100</v>
      </c>
      <c r="K19" s="22">
        <v>325515.38</v>
      </c>
      <c r="L19" s="21">
        <f t="shared" si="0"/>
        <v>26610733.38</v>
      </c>
    </row>
    <row r="20" spans="1:12" ht="54" customHeight="1">
      <c r="A20" s="4">
        <v>11</v>
      </c>
      <c r="B20" s="46" t="s">
        <v>29</v>
      </c>
      <c r="C20" s="47"/>
      <c r="D20" s="5">
        <v>203.994918</v>
      </c>
      <c r="E20" s="5">
        <v>414.47</v>
      </c>
      <c r="F20" s="5">
        <v>1</v>
      </c>
      <c r="G20" s="11">
        <v>0.902885</v>
      </c>
      <c r="H20" s="5">
        <f>316.35</f>
        <v>316.35</v>
      </c>
      <c r="I20" s="5">
        <f>17826.7+43183.2</f>
        <v>61009.899999999994</v>
      </c>
      <c r="J20" s="21">
        <v>877</v>
      </c>
      <c r="K20" s="21">
        <v>1783.12</v>
      </c>
      <c r="L20" s="21">
        <f t="shared" si="0"/>
        <v>365273.31</v>
      </c>
    </row>
    <row r="21" spans="1:12" ht="65.25" customHeight="1">
      <c r="A21" s="4">
        <v>12</v>
      </c>
      <c r="B21" s="46" t="s">
        <v>30</v>
      </c>
      <c r="C21" s="47"/>
      <c r="D21" s="5">
        <v>288.415959</v>
      </c>
      <c r="E21" s="5">
        <v>637.22</v>
      </c>
      <c r="F21" s="5">
        <v>1</v>
      </c>
      <c r="G21" s="11">
        <v>0.902885</v>
      </c>
      <c r="H21" s="5">
        <f>396.99</f>
        <v>396.99</v>
      </c>
      <c r="I21" s="5">
        <f>24837.86+60166.97</f>
        <v>85004.83</v>
      </c>
      <c r="J21" s="21">
        <v>3677</v>
      </c>
      <c r="K21" s="21">
        <v>7476.08</v>
      </c>
      <c r="L21" s="21">
        <f t="shared" si="0"/>
        <v>2350534.02</v>
      </c>
    </row>
    <row r="22" spans="1:12" ht="58.5" customHeight="1">
      <c r="A22" s="4">
        <v>13</v>
      </c>
      <c r="B22" s="46" t="s">
        <v>31</v>
      </c>
      <c r="C22" s="47"/>
      <c r="D22" s="5">
        <v>149.02</v>
      </c>
      <c r="E22" s="5">
        <v>196.4</v>
      </c>
      <c r="F22" s="5">
        <v>1</v>
      </c>
      <c r="G22" s="11">
        <v>0.902885</v>
      </c>
      <c r="H22" s="5">
        <f>130.91</f>
        <v>130.91</v>
      </c>
      <c r="I22" s="5">
        <f>19.57+25.05</f>
        <v>44.620000000000005</v>
      </c>
      <c r="J22" s="21">
        <v>14</v>
      </c>
      <c r="K22" s="21">
        <v>28.46</v>
      </c>
      <c r="L22" s="21">
        <f t="shared" si="0"/>
        <v>2778.06</v>
      </c>
    </row>
    <row r="23" spans="1:12" ht="74.25" customHeight="1">
      <c r="A23" s="4">
        <v>14</v>
      </c>
      <c r="B23" s="46" t="s">
        <v>32</v>
      </c>
      <c r="C23" s="47"/>
      <c r="D23" s="5">
        <v>2498.76</v>
      </c>
      <c r="E23" s="5">
        <v>2418.04</v>
      </c>
      <c r="F23" s="5">
        <v>1</v>
      </c>
      <c r="G23" s="11">
        <v>0.902885</v>
      </c>
      <c r="H23" s="5">
        <f>2329.82</f>
        <v>2329.82</v>
      </c>
      <c r="I23" s="5">
        <f>569.78+729.14</f>
        <v>1298.92</v>
      </c>
      <c r="J23" s="21">
        <v>275</v>
      </c>
      <c r="K23" s="21">
        <v>559.13</v>
      </c>
      <c r="L23" s="21">
        <f t="shared" si="0"/>
        <v>665520.13</v>
      </c>
    </row>
    <row r="24" spans="1:12" ht="54" customHeight="1">
      <c r="A24" s="4">
        <v>15</v>
      </c>
      <c r="B24" s="46" t="s">
        <v>33</v>
      </c>
      <c r="C24" s="47"/>
      <c r="D24" s="5">
        <v>379.29</v>
      </c>
      <c r="E24" s="5">
        <v>224.95</v>
      </c>
      <c r="F24" s="5">
        <v>1</v>
      </c>
      <c r="G24" s="11">
        <v>0.902885</v>
      </c>
      <c r="H24" s="5">
        <f>488.11</f>
        <v>488.11</v>
      </c>
      <c r="I24" s="5">
        <f>7011.16+16983.77</f>
        <v>23994.93</v>
      </c>
      <c r="J24" s="21">
        <v>2800</v>
      </c>
      <c r="K24" s="21">
        <v>5692.96</v>
      </c>
      <c r="L24" s="21">
        <f t="shared" si="0"/>
        <v>635552.96</v>
      </c>
    </row>
    <row r="25" spans="1:12" ht="54" customHeight="1">
      <c r="A25" s="4">
        <v>16</v>
      </c>
      <c r="B25" s="56" t="s">
        <v>34</v>
      </c>
      <c r="C25" s="57"/>
      <c r="D25" s="5">
        <v>203.790588</v>
      </c>
      <c r="E25" s="5">
        <v>217.22</v>
      </c>
      <c r="F25" s="5">
        <v>1</v>
      </c>
      <c r="G25" s="11">
        <v>0.902885</v>
      </c>
      <c r="H25" s="5">
        <f>317.11</f>
        <v>317.11</v>
      </c>
      <c r="I25" s="5">
        <f>402.33+974.6</f>
        <v>1376.93</v>
      </c>
      <c r="J25" s="21">
        <v>66</v>
      </c>
      <c r="K25" s="21">
        <v>134.19</v>
      </c>
      <c r="L25" s="21">
        <f t="shared" si="0"/>
        <v>14470.710000000001</v>
      </c>
    </row>
    <row r="26" spans="1:12" ht="54" customHeight="1">
      <c r="A26" s="4">
        <v>17</v>
      </c>
      <c r="B26" s="56" t="s">
        <v>35</v>
      </c>
      <c r="C26" s="57"/>
      <c r="D26" s="5">
        <v>546.80058</v>
      </c>
      <c r="E26" s="5">
        <v>606.46</v>
      </c>
      <c r="F26" s="5">
        <v>1</v>
      </c>
      <c r="G26" s="11">
        <v>0.902885</v>
      </c>
      <c r="H26" s="5">
        <f>653.87</f>
        <v>653.87</v>
      </c>
      <c r="I26" s="5">
        <f>402.33+974.6</f>
        <v>1376.93</v>
      </c>
      <c r="J26" s="21">
        <v>66</v>
      </c>
      <c r="K26" s="21">
        <v>134.19</v>
      </c>
      <c r="L26" s="21">
        <f t="shared" si="0"/>
        <v>40160.55</v>
      </c>
    </row>
    <row r="27" spans="1:12" ht="81" customHeight="1">
      <c r="A27" s="4">
        <v>18</v>
      </c>
      <c r="B27" s="56" t="s">
        <v>36</v>
      </c>
      <c r="C27" s="57"/>
      <c r="D27" s="5">
        <v>606.28398</v>
      </c>
      <c r="E27" s="5">
        <v>678.46</v>
      </c>
      <c r="F27" s="5">
        <v>1</v>
      </c>
      <c r="G27" s="11">
        <v>0.902885</v>
      </c>
      <c r="H27" s="5">
        <f>846.17</f>
        <v>846.17</v>
      </c>
      <c r="I27" s="5">
        <f>1550.15+3755.06</f>
        <v>5305.21</v>
      </c>
      <c r="J27" s="21">
        <v>382</v>
      </c>
      <c r="K27" s="21">
        <v>776.68</v>
      </c>
      <c r="L27" s="21">
        <f t="shared" si="0"/>
        <v>259948.4</v>
      </c>
    </row>
    <row r="28" spans="1:12" ht="87.75" customHeight="1">
      <c r="A28" s="4">
        <v>19</v>
      </c>
      <c r="B28" s="46" t="s">
        <v>37</v>
      </c>
      <c r="C28" s="47"/>
      <c r="D28" s="5">
        <v>150.5</v>
      </c>
      <c r="E28" s="5">
        <v>199.4</v>
      </c>
      <c r="F28" s="5">
        <v>1</v>
      </c>
      <c r="G28" s="11">
        <v>0.902885</v>
      </c>
      <c r="H28" s="5">
        <f>132.39</f>
        <v>132.39</v>
      </c>
      <c r="I28" s="5">
        <f>232.7+297.78</f>
        <v>530.48</v>
      </c>
      <c r="J28" s="21">
        <v>107</v>
      </c>
      <c r="K28" s="21">
        <v>217.55</v>
      </c>
      <c r="L28" s="21">
        <f t="shared" si="0"/>
        <v>21553.35</v>
      </c>
    </row>
    <row r="29" spans="1:13" ht="84" customHeight="1">
      <c r="A29" s="4">
        <v>20</v>
      </c>
      <c r="B29" s="46" t="s">
        <v>38</v>
      </c>
      <c r="C29" s="47"/>
      <c r="D29" s="5">
        <v>2468.18</v>
      </c>
      <c r="E29" s="5">
        <v>2034.76</v>
      </c>
      <c r="F29" s="5">
        <v>1</v>
      </c>
      <c r="G29" s="11">
        <v>0.902885</v>
      </c>
      <c r="H29" s="5">
        <f>1870.5</f>
        <v>1870.5</v>
      </c>
      <c r="I29" s="5">
        <f>615.45+787.58</f>
        <v>1403.0300000000002</v>
      </c>
      <c r="J29" s="21">
        <v>321</v>
      </c>
      <c r="K29" s="21">
        <v>652.66</v>
      </c>
      <c r="L29" s="21">
        <f t="shared" si="0"/>
        <v>653810.62</v>
      </c>
      <c r="M29" s="10">
        <f>SUM(L10:L29)</f>
        <v>70569157.78263</v>
      </c>
    </row>
    <row r="30" spans="1:12" ht="90.75" customHeight="1">
      <c r="A30" s="4">
        <v>21</v>
      </c>
      <c r="B30" s="66" t="s">
        <v>39</v>
      </c>
      <c r="C30" s="67"/>
      <c r="D30" s="12">
        <v>29949.78</v>
      </c>
      <c r="E30" s="12">
        <v>16561.26</v>
      </c>
      <c r="F30" s="5">
        <v>1</v>
      </c>
      <c r="G30" s="5">
        <v>1</v>
      </c>
      <c r="H30" s="7"/>
      <c r="I30" s="7">
        <f>SUM(I28:I29)</f>
        <v>1933.5100000000002</v>
      </c>
      <c r="J30" s="21">
        <v>18</v>
      </c>
      <c r="K30" s="21">
        <v>0</v>
      </c>
      <c r="L30" s="21">
        <f t="shared" si="0"/>
        <v>298102.68</v>
      </c>
    </row>
    <row r="31" spans="1:12" ht="63" customHeight="1">
      <c r="A31" s="4">
        <v>22</v>
      </c>
      <c r="B31" s="66" t="s">
        <v>40</v>
      </c>
      <c r="C31" s="67"/>
      <c r="D31" s="13">
        <v>29949.78</v>
      </c>
      <c r="E31" s="13">
        <v>16561.26</v>
      </c>
      <c r="F31" s="5">
        <v>1</v>
      </c>
      <c r="G31" s="5">
        <v>1</v>
      </c>
      <c r="J31" s="21">
        <v>1</v>
      </c>
      <c r="K31" s="21">
        <v>0</v>
      </c>
      <c r="L31" s="21">
        <f t="shared" si="0"/>
        <v>16561.26</v>
      </c>
    </row>
    <row r="32" spans="1:12" ht="80.25" customHeight="1">
      <c r="A32" s="4">
        <v>23</v>
      </c>
      <c r="B32" s="66" t="s">
        <v>41</v>
      </c>
      <c r="C32" s="67"/>
      <c r="D32" s="13">
        <v>1500.74</v>
      </c>
      <c r="E32" s="13">
        <v>1449.76</v>
      </c>
      <c r="F32" s="5">
        <v>1</v>
      </c>
      <c r="G32" s="5">
        <v>1</v>
      </c>
      <c r="J32" s="21">
        <v>650</v>
      </c>
      <c r="K32" s="21">
        <v>0</v>
      </c>
      <c r="L32" s="21">
        <f t="shared" si="0"/>
        <v>942344</v>
      </c>
    </row>
    <row r="33" spans="1:12" ht="62.25" customHeight="1">
      <c r="A33" s="4">
        <v>24</v>
      </c>
      <c r="B33" s="66" t="s">
        <v>42</v>
      </c>
      <c r="C33" s="67"/>
      <c r="D33" s="13">
        <v>1098.47</v>
      </c>
      <c r="E33" s="13">
        <v>1135.45</v>
      </c>
      <c r="F33" s="5">
        <v>1</v>
      </c>
      <c r="G33" s="5">
        <v>1</v>
      </c>
      <c r="J33" s="21">
        <v>60</v>
      </c>
      <c r="K33" s="21">
        <v>0</v>
      </c>
      <c r="L33" s="21">
        <f t="shared" si="0"/>
        <v>68127</v>
      </c>
    </row>
    <row r="34" spans="1:12" ht="78" customHeight="1">
      <c r="A34" s="4">
        <v>25</v>
      </c>
      <c r="B34" s="66" t="s">
        <v>43</v>
      </c>
      <c r="C34" s="67"/>
      <c r="D34" s="13">
        <v>1301.4</v>
      </c>
      <c r="E34" s="13">
        <v>1135.45</v>
      </c>
      <c r="F34" s="5">
        <v>1</v>
      </c>
      <c r="G34" s="5">
        <v>1</v>
      </c>
      <c r="J34" s="21">
        <v>20</v>
      </c>
      <c r="K34" s="21">
        <v>0</v>
      </c>
      <c r="L34" s="21">
        <f t="shared" si="0"/>
        <v>22709</v>
      </c>
    </row>
    <row r="35" spans="1:12" ht="78.75" customHeight="1">
      <c r="A35" s="4">
        <v>26</v>
      </c>
      <c r="B35" s="66" t="s">
        <v>44</v>
      </c>
      <c r="C35" s="67"/>
      <c r="D35" s="13">
        <v>1144.685</v>
      </c>
      <c r="E35" s="13">
        <v>1552.44</v>
      </c>
      <c r="F35" s="5">
        <v>1</v>
      </c>
      <c r="G35" s="5">
        <v>1</v>
      </c>
      <c r="J35" s="21">
        <v>100</v>
      </c>
      <c r="K35" s="21">
        <v>0</v>
      </c>
      <c r="L35" s="21">
        <f t="shared" si="0"/>
        <v>155244</v>
      </c>
    </row>
    <row r="36" spans="1:12" ht="52.5" customHeight="1">
      <c r="A36" s="4">
        <v>27</v>
      </c>
      <c r="B36" s="66" t="s">
        <v>45</v>
      </c>
      <c r="C36" s="67"/>
      <c r="D36" s="13">
        <v>1233.76</v>
      </c>
      <c r="E36" s="13">
        <v>1238.7</v>
      </c>
      <c r="F36" s="5">
        <v>1</v>
      </c>
      <c r="G36" s="5">
        <v>1</v>
      </c>
      <c r="J36" s="21">
        <v>10</v>
      </c>
      <c r="K36" s="21">
        <v>0</v>
      </c>
      <c r="L36" s="21">
        <f t="shared" si="0"/>
        <v>12387</v>
      </c>
    </row>
    <row r="37" spans="1:13" ht="92.25" customHeight="1">
      <c r="A37" s="4">
        <v>28</v>
      </c>
      <c r="B37" s="66" t="s">
        <v>46</v>
      </c>
      <c r="C37" s="67"/>
      <c r="D37" s="13">
        <v>1472.34</v>
      </c>
      <c r="E37" s="13">
        <v>1147.45</v>
      </c>
      <c r="F37" s="5">
        <v>1</v>
      </c>
      <c r="G37" s="5">
        <v>1</v>
      </c>
      <c r="J37" s="21">
        <v>5</v>
      </c>
      <c r="K37" s="21">
        <v>0</v>
      </c>
      <c r="L37" s="21">
        <f t="shared" si="0"/>
        <v>5737.25</v>
      </c>
      <c r="M37" s="10">
        <f>SUM(L30:L37)</f>
        <v>1521212.19</v>
      </c>
    </row>
    <row r="38" spans="1:13" ht="49.5" customHeight="1">
      <c r="A38" s="4">
        <v>29</v>
      </c>
      <c r="B38" s="43" t="s">
        <v>47</v>
      </c>
      <c r="C38" s="43"/>
      <c r="D38" s="13">
        <v>0</v>
      </c>
      <c r="E38" s="13">
        <v>289.85</v>
      </c>
      <c r="F38" s="5">
        <v>1</v>
      </c>
      <c r="G38" s="5">
        <v>1</v>
      </c>
      <c r="J38" s="21">
        <v>7008</v>
      </c>
      <c r="K38" s="21">
        <v>0</v>
      </c>
      <c r="L38" s="21">
        <f t="shared" si="0"/>
        <v>2031268.8</v>
      </c>
      <c r="M38" s="10"/>
    </row>
    <row r="39" spans="1:13" ht="47.25" customHeight="1">
      <c r="A39" s="4">
        <v>30</v>
      </c>
      <c r="B39" s="44" t="s">
        <v>48</v>
      </c>
      <c r="C39" s="44"/>
      <c r="D39" s="13">
        <v>0</v>
      </c>
      <c r="E39" s="13">
        <v>2402.46</v>
      </c>
      <c r="F39" s="5">
        <v>1</v>
      </c>
      <c r="G39" s="5">
        <v>1</v>
      </c>
      <c r="J39" s="21">
        <v>496</v>
      </c>
      <c r="K39" s="21">
        <v>0</v>
      </c>
      <c r="L39" s="21">
        <f t="shared" si="0"/>
        <v>1191620.16</v>
      </c>
      <c r="M39" s="10"/>
    </row>
    <row r="40" spans="1:13" ht="66.75" customHeight="1">
      <c r="A40" s="4">
        <v>31</v>
      </c>
      <c r="B40" s="44" t="s">
        <v>49</v>
      </c>
      <c r="C40" s="44"/>
      <c r="D40" s="13">
        <v>0</v>
      </c>
      <c r="E40" s="13">
        <v>8498.96</v>
      </c>
      <c r="F40" s="5">
        <v>1</v>
      </c>
      <c r="G40" s="5">
        <v>1</v>
      </c>
      <c r="J40" s="21">
        <v>125</v>
      </c>
      <c r="K40" s="21">
        <v>0</v>
      </c>
      <c r="L40" s="21">
        <f t="shared" si="0"/>
        <v>1062370</v>
      </c>
      <c r="M40" s="10"/>
    </row>
    <row r="41" spans="1:13" ht="48" customHeight="1">
      <c r="A41" s="4">
        <v>32</v>
      </c>
      <c r="B41" s="44" t="s">
        <v>50</v>
      </c>
      <c r="C41" s="44"/>
      <c r="D41" s="13">
        <v>0</v>
      </c>
      <c r="E41" s="13">
        <v>159192.33</v>
      </c>
      <c r="F41" s="5">
        <v>1</v>
      </c>
      <c r="G41" s="5">
        <v>1</v>
      </c>
      <c r="J41" s="21">
        <v>26</v>
      </c>
      <c r="K41" s="21">
        <v>0</v>
      </c>
      <c r="L41" s="21">
        <f t="shared" si="0"/>
        <v>4139000.5799999996</v>
      </c>
      <c r="M41" s="21">
        <f>SUM(L38:L41)</f>
        <v>8424259.54</v>
      </c>
    </row>
    <row r="42" spans="1:12" ht="12.75">
      <c r="A42" s="16"/>
      <c r="B42" s="65"/>
      <c r="C42" s="65"/>
      <c r="D42" s="16"/>
      <c r="E42" s="16"/>
      <c r="F42" s="16"/>
      <c r="G42" s="17"/>
      <c r="J42" s="10"/>
      <c r="K42" s="10"/>
      <c r="L42" s="23"/>
    </row>
    <row r="43" spans="10:13" ht="12.75">
      <c r="J43" s="10"/>
      <c r="K43" s="10"/>
      <c r="L43" s="23" t="s">
        <v>51</v>
      </c>
      <c r="M43" s="10">
        <f>M29+M37+M41</f>
        <v>80514629.51262999</v>
      </c>
    </row>
  </sheetData>
  <sheetProtection/>
  <mergeCells count="46">
    <mergeCell ref="B40:C40"/>
    <mergeCell ref="B41:C41"/>
    <mergeCell ref="B36:C36"/>
    <mergeCell ref="B14:C14"/>
    <mergeCell ref="B22:C22"/>
    <mergeCell ref="B23:C23"/>
    <mergeCell ref="B15:C15"/>
    <mergeCell ref="B19:C19"/>
    <mergeCell ref="B20:C20"/>
    <mergeCell ref="B28:C28"/>
    <mergeCell ref="B42:C42"/>
    <mergeCell ref="B37:C37"/>
    <mergeCell ref="B30:C30"/>
    <mergeCell ref="B31:C31"/>
    <mergeCell ref="B32:C32"/>
    <mergeCell ref="B33:C33"/>
    <mergeCell ref="B34:C34"/>
    <mergeCell ref="B35:C35"/>
    <mergeCell ref="B38:C38"/>
    <mergeCell ref="B39:C39"/>
    <mergeCell ref="A6:A7"/>
    <mergeCell ref="B6:C7"/>
    <mergeCell ref="F6:F7"/>
    <mergeCell ref="G6:G7"/>
    <mergeCell ref="H6:H7"/>
    <mergeCell ref="I6:I7"/>
    <mergeCell ref="E6:E7"/>
    <mergeCell ref="F1:G1"/>
    <mergeCell ref="B8:C8"/>
    <mergeCell ref="B9:I9"/>
    <mergeCell ref="B10:C10"/>
    <mergeCell ref="B11:C11"/>
    <mergeCell ref="B13:C13"/>
    <mergeCell ref="B12:C12"/>
    <mergeCell ref="B3:I3"/>
    <mergeCell ref="B4:I4"/>
    <mergeCell ref="B29:C29"/>
    <mergeCell ref="D6:D7"/>
    <mergeCell ref="B21:C21"/>
    <mergeCell ref="B24:C24"/>
    <mergeCell ref="B25:C25"/>
    <mergeCell ref="B26:C26"/>
    <mergeCell ref="B27:C27"/>
    <mergeCell ref="B16:C16"/>
    <mergeCell ref="B17:C17"/>
    <mergeCell ref="B18:C18"/>
  </mergeCells>
  <printOptions/>
  <pageMargins left="0.5905511811023623" right="0.2362204724409449" top="0.7480314960629921" bottom="0.15748031496062992" header="0" footer="0"/>
  <pageSetup fitToHeight="2" horizontalDpi="600" verticalDpi="600" orientation="portrait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2" max="3" width="27.57421875" style="0" customWidth="1"/>
    <col min="4" max="4" width="17.00390625" style="0" customWidth="1"/>
    <col min="5" max="5" width="19.7109375" style="0" customWidth="1"/>
    <col min="6" max="6" width="19.7109375" style="0" hidden="1" customWidth="1"/>
    <col min="7" max="8" width="20.140625" style="0" customWidth="1"/>
    <col min="9" max="9" width="20.421875" style="0" hidden="1" customWidth="1"/>
    <col min="10" max="10" width="14.7109375" style="0" hidden="1" customWidth="1"/>
    <col min="11" max="11" width="13.28125" style="0" hidden="1" customWidth="1"/>
    <col min="12" max="12" width="13.57421875" style="0" hidden="1" customWidth="1"/>
  </cols>
  <sheetData>
    <row r="1" spans="2:9" ht="45.75" customHeight="1">
      <c r="B1" s="1"/>
      <c r="C1" s="1"/>
      <c r="D1" s="1"/>
      <c r="E1" s="1"/>
      <c r="F1" s="1"/>
      <c r="G1" s="51" t="s">
        <v>66</v>
      </c>
      <c r="H1" s="51"/>
      <c r="I1" s="8"/>
    </row>
    <row r="2" spans="2:8" ht="15">
      <c r="B2" s="1"/>
      <c r="C2" s="1"/>
      <c r="D2" s="1"/>
      <c r="E2" s="1"/>
      <c r="F2" s="1"/>
      <c r="G2" s="1"/>
      <c r="H2" s="1"/>
    </row>
    <row r="3" spans="2:8" ht="99.75" customHeight="1">
      <c r="B3" s="54" t="s">
        <v>55</v>
      </c>
      <c r="C3" s="55"/>
      <c r="D3" s="55"/>
      <c r="E3" s="55"/>
      <c r="F3" s="55"/>
      <c r="G3" s="55"/>
      <c r="H3" s="55"/>
    </row>
    <row r="4" spans="2:8" ht="10.5" customHeight="1">
      <c r="B4" s="54"/>
      <c r="C4" s="54"/>
      <c r="D4" s="54"/>
      <c r="E4" s="54"/>
      <c r="F4" s="54"/>
      <c r="G4" s="54"/>
      <c r="H4" s="54"/>
    </row>
    <row r="5" spans="2:8" ht="15">
      <c r="B5" s="1"/>
      <c r="C5" s="1"/>
      <c r="D5" s="1"/>
      <c r="E5" s="1"/>
      <c r="F5" s="1"/>
      <c r="G5" s="1"/>
      <c r="H5" s="1"/>
    </row>
    <row r="6" spans="1:12" ht="27.75" customHeight="1">
      <c r="A6" s="53" t="s">
        <v>0</v>
      </c>
      <c r="B6" s="45" t="s">
        <v>1</v>
      </c>
      <c r="C6" s="45"/>
      <c r="D6" s="45" t="s">
        <v>2</v>
      </c>
      <c r="E6" s="45" t="s">
        <v>3</v>
      </c>
      <c r="F6" s="45" t="s">
        <v>6</v>
      </c>
      <c r="G6" s="45" t="s">
        <v>9</v>
      </c>
      <c r="H6" s="45" t="s">
        <v>5</v>
      </c>
      <c r="I6" s="33" t="s">
        <v>60</v>
      </c>
      <c r="J6" s="33" t="s">
        <v>60</v>
      </c>
      <c r="K6" s="30"/>
      <c r="L6" s="30"/>
    </row>
    <row r="7" spans="1:12" ht="125.25" customHeight="1">
      <c r="A7" s="53"/>
      <c r="B7" s="45"/>
      <c r="C7" s="45"/>
      <c r="D7" s="45"/>
      <c r="E7" s="45"/>
      <c r="F7" s="45"/>
      <c r="G7" s="45"/>
      <c r="H7" s="45"/>
      <c r="I7" s="33" t="s">
        <v>14</v>
      </c>
      <c r="J7" s="33" t="s">
        <v>16</v>
      </c>
      <c r="K7" s="30"/>
      <c r="L7" s="30"/>
    </row>
    <row r="8" spans="1:12" ht="15">
      <c r="A8" s="2">
        <v>1</v>
      </c>
      <c r="B8" s="49">
        <v>2</v>
      </c>
      <c r="C8" s="50"/>
      <c r="D8" s="39">
        <v>3</v>
      </c>
      <c r="E8" s="39">
        <v>4</v>
      </c>
      <c r="F8" s="39" t="s">
        <v>18</v>
      </c>
      <c r="G8" s="39">
        <v>5</v>
      </c>
      <c r="H8" s="39">
        <v>6</v>
      </c>
      <c r="I8" s="30"/>
      <c r="J8" s="30"/>
      <c r="K8" s="30"/>
      <c r="L8" s="30"/>
    </row>
    <row r="9" spans="1:12" ht="37.5" customHeight="1">
      <c r="A9" s="3"/>
      <c r="B9" s="52" t="s">
        <v>10</v>
      </c>
      <c r="C9" s="52"/>
      <c r="D9" s="52"/>
      <c r="E9" s="52"/>
      <c r="F9" s="52"/>
      <c r="G9" s="52"/>
      <c r="H9" s="52"/>
      <c r="I9" s="31"/>
      <c r="J9" s="31"/>
      <c r="K9" s="30"/>
      <c r="L9" s="30"/>
    </row>
    <row r="10" spans="1:12" ht="69" customHeight="1">
      <c r="A10" s="4">
        <v>1</v>
      </c>
      <c r="B10" s="46" t="s">
        <v>17</v>
      </c>
      <c r="C10" s="47"/>
      <c r="D10" s="5">
        <v>1</v>
      </c>
      <c r="E10" s="11">
        <v>0.703131</v>
      </c>
      <c r="F10" s="5">
        <v>304.06</v>
      </c>
      <c r="G10" s="5">
        <f>F10*E10</f>
        <v>213.79401185999998</v>
      </c>
      <c r="H10" s="5">
        <v>22.84</v>
      </c>
      <c r="I10" s="27">
        <v>11</v>
      </c>
      <c r="J10" s="26">
        <f>G10*I10+H10</f>
        <v>2374.57413046</v>
      </c>
      <c r="K10" s="30"/>
      <c r="L10" s="30"/>
    </row>
    <row r="11" spans="1:12" ht="67.5" customHeight="1">
      <c r="A11" s="4">
        <v>2</v>
      </c>
      <c r="B11" s="46" t="s">
        <v>20</v>
      </c>
      <c r="C11" s="47"/>
      <c r="D11" s="5">
        <v>1</v>
      </c>
      <c r="E11" s="11">
        <v>0.703131</v>
      </c>
      <c r="F11" s="5">
        <v>532.86</v>
      </c>
      <c r="G11" s="5">
        <f aca="true" t="shared" si="0" ref="G11:G41">F11*E11</f>
        <v>374.67038465999997</v>
      </c>
      <c r="H11" s="26">
        <v>55838.17</v>
      </c>
      <c r="I11" s="26">
        <v>26888</v>
      </c>
      <c r="J11" s="26">
        <f aca="true" t="shared" si="1" ref="J11:J41">G11*I11+H11</f>
        <v>10129975.47273808</v>
      </c>
      <c r="K11" s="30"/>
      <c r="L11" s="30"/>
    </row>
    <row r="12" spans="1:12" ht="94.5" customHeight="1">
      <c r="A12" s="4">
        <v>3</v>
      </c>
      <c r="B12" s="46" t="s">
        <v>21</v>
      </c>
      <c r="C12" s="47"/>
      <c r="D12" s="5">
        <v>1</v>
      </c>
      <c r="E12" s="11">
        <v>0.703131</v>
      </c>
      <c r="F12" s="5">
        <v>307.01</v>
      </c>
      <c r="G12" s="5">
        <f t="shared" si="0"/>
        <v>215.86824830999998</v>
      </c>
      <c r="H12" s="26">
        <v>125640.04</v>
      </c>
      <c r="I12" s="26">
        <v>60500</v>
      </c>
      <c r="J12" s="26">
        <f t="shared" si="1"/>
        <v>13185669.062754998</v>
      </c>
      <c r="K12" s="30"/>
      <c r="L12" s="30"/>
    </row>
    <row r="13" spans="1:12" ht="63" customHeight="1">
      <c r="A13" s="4">
        <v>4</v>
      </c>
      <c r="B13" s="46" t="s">
        <v>22</v>
      </c>
      <c r="C13" s="47"/>
      <c r="D13" s="5">
        <v>1</v>
      </c>
      <c r="E13" s="11">
        <v>0.703131</v>
      </c>
      <c r="F13" s="5">
        <v>421.26</v>
      </c>
      <c r="G13" s="5">
        <f t="shared" si="0"/>
        <v>296.20096506</v>
      </c>
      <c r="H13" s="26">
        <v>6292.39</v>
      </c>
      <c r="I13" s="26">
        <v>3030</v>
      </c>
      <c r="J13" s="26">
        <f t="shared" si="1"/>
        <v>903781.3141318</v>
      </c>
      <c r="K13" s="30"/>
      <c r="L13" s="30"/>
    </row>
    <row r="14" spans="1:12" ht="61.5" customHeight="1">
      <c r="A14" s="4">
        <v>5</v>
      </c>
      <c r="B14" s="46" t="s">
        <v>23</v>
      </c>
      <c r="C14" s="47"/>
      <c r="D14" s="5">
        <v>1</v>
      </c>
      <c r="E14" s="11">
        <v>0.703131</v>
      </c>
      <c r="F14" s="5">
        <v>285003.03</v>
      </c>
      <c r="G14" s="5">
        <f t="shared" si="0"/>
        <v>200394.46548693</v>
      </c>
      <c r="H14" s="40">
        <v>2076.69</v>
      </c>
      <c r="I14" s="26">
        <v>1</v>
      </c>
      <c r="J14" s="26">
        <f t="shared" si="1"/>
        <v>202471.15548693002</v>
      </c>
      <c r="K14" s="30"/>
      <c r="L14" s="30"/>
    </row>
    <row r="15" spans="1:12" ht="71.25" customHeight="1">
      <c r="A15" s="4">
        <v>6</v>
      </c>
      <c r="B15" s="46" t="s">
        <v>24</v>
      </c>
      <c r="C15" s="47"/>
      <c r="D15" s="5">
        <v>1</v>
      </c>
      <c r="E15" s="11">
        <v>0.703131</v>
      </c>
      <c r="F15" s="5">
        <v>409379.03</v>
      </c>
      <c r="G15" s="5">
        <f t="shared" si="0"/>
        <v>287847.08674293</v>
      </c>
      <c r="H15" s="40">
        <v>14536.86</v>
      </c>
      <c r="I15" s="26">
        <v>7</v>
      </c>
      <c r="J15" s="26">
        <f t="shared" si="1"/>
        <v>2029466.46720051</v>
      </c>
      <c r="K15" s="30"/>
      <c r="L15" s="30"/>
    </row>
    <row r="16" spans="1:12" ht="65.25" customHeight="1">
      <c r="A16" s="4">
        <v>7</v>
      </c>
      <c r="B16" s="46" t="s">
        <v>25</v>
      </c>
      <c r="C16" s="47"/>
      <c r="D16" s="5">
        <v>1</v>
      </c>
      <c r="E16" s="11">
        <v>0.703131</v>
      </c>
      <c r="F16" s="5">
        <v>366.37</v>
      </c>
      <c r="G16" s="5">
        <f t="shared" si="0"/>
        <v>257.60610447</v>
      </c>
      <c r="H16" s="40">
        <v>149.52</v>
      </c>
      <c r="I16" s="26">
        <v>72</v>
      </c>
      <c r="J16" s="26">
        <f t="shared" si="1"/>
        <v>18697.15952184</v>
      </c>
      <c r="K16" s="30"/>
      <c r="L16" s="30"/>
    </row>
    <row r="17" spans="1:12" ht="87" customHeight="1">
      <c r="A17" s="4">
        <v>8</v>
      </c>
      <c r="B17" s="46" t="s">
        <v>26</v>
      </c>
      <c r="C17" s="47"/>
      <c r="D17" s="5">
        <v>1</v>
      </c>
      <c r="E17" s="11">
        <v>0.703131</v>
      </c>
      <c r="F17" s="5">
        <v>229.23</v>
      </c>
      <c r="G17" s="5">
        <f t="shared" si="0"/>
        <v>161.17871913</v>
      </c>
      <c r="H17" s="40">
        <v>949.05</v>
      </c>
      <c r="I17" s="26">
        <v>457</v>
      </c>
      <c r="J17" s="26">
        <f t="shared" si="1"/>
        <v>74607.72464241</v>
      </c>
      <c r="K17" s="30"/>
      <c r="L17" s="30"/>
    </row>
    <row r="18" spans="1:12" ht="72" customHeight="1">
      <c r="A18" s="4">
        <v>9</v>
      </c>
      <c r="B18" s="46" t="s">
        <v>27</v>
      </c>
      <c r="C18" s="47"/>
      <c r="D18" s="5">
        <v>1</v>
      </c>
      <c r="E18" s="11">
        <v>0.703131</v>
      </c>
      <c r="F18" s="5">
        <v>686.28</v>
      </c>
      <c r="G18" s="5">
        <f t="shared" si="0"/>
        <v>482.54474267999996</v>
      </c>
      <c r="H18" s="40">
        <v>949.05</v>
      </c>
      <c r="I18" s="26">
        <v>457</v>
      </c>
      <c r="J18" s="26">
        <f t="shared" si="1"/>
        <v>221471.99740475998</v>
      </c>
      <c r="K18" s="30"/>
      <c r="L18" s="30"/>
    </row>
    <row r="19" spans="1:12" ht="51.75" customHeight="1">
      <c r="A19" s="4">
        <v>10</v>
      </c>
      <c r="B19" s="48" t="s">
        <v>28</v>
      </c>
      <c r="C19" s="48"/>
      <c r="D19" s="5">
        <v>1</v>
      </c>
      <c r="E19" s="11">
        <v>0.703131</v>
      </c>
      <c r="F19" s="5">
        <v>173.38</v>
      </c>
      <c r="G19" s="5">
        <f t="shared" si="0"/>
        <v>121.90885277999999</v>
      </c>
      <c r="H19" s="40">
        <v>332375.02</v>
      </c>
      <c r="I19" s="26">
        <v>160050</v>
      </c>
      <c r="J19" s="26">
        <f>G19*I19+H19-18.19</f>
        <v>19843868.717438996</v>
      </c>
      <c r="K19" s="30"/>
      <c r="L19" s="30"/>
    </row>
    <row r="20" spans="1:12" ht="54" customHeight="1">
      <c r="A20" s="4">
        <v>11</v>
      </c>
      <c r="B20" s="46" t="s">
        <v>29</v>
      </c>
      <c r="C20" s="47"/>
      <c r="D20" s="5">
        <v>1</v>
      </c>
      <c r="E20" s="11">
        <v>0.703131</v>
      </c>
      <c r="F20" s="5">
        <v>437.07</v>
      </c>
      <c r="G20" s="5">
        <f t="shared" si="0"/>
        <v>307.31746617</v>
      </c>
      <c r="H20" s="26">
        <v>1821.26</v>
      </c>
      <c r="I20" s="26">
        <v>877</v>
      </c>
      <c r="J20" s="26">
        <f t="shared" si="1"/>
        <v>271338.67783109</v>
      </c>
      <c r="K20" s="30"/>
      <c r="L20" s="30"/>
    </row>
    <row r="21" spans="1:12" ht="67.5" customHeight="1">
      <c r="A21" s="4">
        <v>12</v>
      </c>
      <c r="B21" s="46" t="s">
        <v>30</v>
      </c>
      <c r="C21" s="47"/>
      <c r="D21" s="5">
        <v>1</v>
      </c>
      <c r="E21" s="11">
        <v>0.703131</v>
      </c>
      <c r="F21" s="5">
        <v>670.42</v>
      </c>
      <c r="G21" s="5">
        <f t="shared" si="0"/>
        <v>471.39308501999994</v>
      </c>
      <c r="H21" s="26">
        <v>7280.89</v>
      </c>
      <c r="I21" s="26">
        <v>3506</v>
      </c>
      <c r="J21" s="26">
        <f t="shared" si="1"/>
        <v>1659985.0460801197</v>
      </c>
      <c r="K21" s="30"/>
      <c r="L21" s="30"/>
    </row>
    <row r="22" spans="1:12" ht="57.75" customHeight="1">
      <c r="A22" s="4">
        <v>13</v>
      </c>
      <c r="B22" s="46" t="s">
        <v>31</v>
      </c>
      <c r="C22" s="47"/>
      <c r="D22" s="5">
        <v>1</v>
      </c>
      <c r="E22" s="11">
        <v>0.703131</v>
      </c>
      <c r="F22" s="5">
        <v>207.29</v>
      </c>
      <c r="G22" s="5">
        <f t="shared" si="0"/>
        <v>145.75202499</v>
      </c>
      <c r="H22" s="26">
        <v>29.07</v>
      </c>
      <c r="I22" s="26">
        <v>14</v>
      </c>
      <c r="J22" s="26">
        <f t="shared" si="1"/>
        <v>2069.59834986</v>
      </c>
      <c r="K22" s="30"/>
      <c r="L22" s="30"/>
    </row>
    <row r="23" spans="1:12" ht="52.5" customHeight="1">
      <c r="A23" s="4">
        <v>14</v>
      </c>
      <c r="B23" s="46" t="s">
        <v>32</v>
      </c>
      <c r="C23" s="47"/>
      <c r="D23" s="5">
        <v>1</v>
      </c>
      <c r="E23" s="11">
        <v>0.703131</v>
      </c>
      <c r="F23" s="5">
        <v>2454.77</v>
      </c>
      <c r="G23" s="5">
        <f t="shared" si="0"/>
        <v>1726.0248848699998</v>
      </c>
      <c r="H23" s="26">
        <v>726.84</v>
      </c>
      <c r="I23" s="26">
        <v>350</v>
      </c>
      <c r="J23" s="26">
        <f t="shared" si="1"/>
        <v>604835.5497044999</v>
      </c>
      <c r="K23" s="30"/>
      <c r="L23" s="30"/>
    </row>
    <row r="24" spans="1:12" ht="54" customHeight="1">
      <c r="A24" s="4">
        <v>15</v>
      </c>
      <c r="B24" s="46" t="s">
        <v>33</v>
      </c>
      <c r="C24" s="47"/>
      <c r="D24" s="5">
        <v>1</v>
      </c>
      <c r="E24" s="11">
        <v>0.703131</v>
      </c>
      <c r="F24" s="5">
        <v>236.96</v>
      </c>
      <c r="G24" s="5">
        <f t="shared" si="0"/>
        <v>166.61392175999998</v>
      </c>
      <c r="H24" s="26">
        <v>5459.63</v>
      </c>
      <c r="I24" s="26">
        <v>2629</v>
      </c>
      <c r="J24" s="26">
        <f t="shared" si="1"/>
        <v>443487.63030703994</v>
      </c>
      <c r="K24" s="30"/>
      <c r="L24" s="30"/>
    </row>
    <row r="25" spans="1:12" ht="54" customHeight="1">
      <c r="A25" s="4">
        <v>16</v>
      </c>
      <c r="B25" s="48" t="s">
        <v>34</v>
      </c>
      <c r="C25" s="48"/>
      <c r="D25" s="5">
        <v>1</v>
      </c>
      <c r="E25" s="11">
        <v>0.703131</v>
      </c>
      <c r="F25" s="5">
        <v>229.23</v>
      </c>
      <c r="G25" s="5">
        <f t="shared" si="0"/>
        <v>161.17871913</v>
      </c>
      <c r="H25" s="26">
        <v>137.06</v>
      </c>
      <c r="I25" s="26">
        <v>66</v>
      </c>
      <c r="J25" s="26">
        <f t="shared" si="1"/>
        <v>10774.855462579999</v>
      </c>
      <c r="K25" s="30"/>
      <c r="L25" s="30"/>
    </row>
    <row r="26" spans="1:12" ht="54" customHeight="1">
      <c r="A26" s="4">
        <v>17</v>
      </c>
      <c r="B26" s="48" t="s">
        <v>35</v>
      </c>
      <c r="C26" s="48"/>
      <c r="D26" s="5">
        <v>1</v>
      </c>
      <c r="E26" s="11">
        <v>0.703131</v>
      </c>
      <c r="F26" s="5">
        <v>639.65</v>
      </c>
      <c r="G26" s="5">
        <f t="shared" si="0"/>
        <v>449.75774414999995</v>
      </c>
      <c r="H26" s="26">
        <v>137.06</v>
      </c>
      <c r="I26" s="26">
        <v>66</v>
      </c>
      <c r="J26" s="26">
        <f t="shared" si="1"/>
        <v>29821.071113899998</v>
      </c>
      <c r="K26" s="30"/>
      <c r="L26" s="30"/>
    </row>
    <row r="27" spans="1:12" ht="86.25" customHeight="1">
      <c r="A27" s="4">
        <v>18</v>
      </c>
      <c r="B27" s="48" t="s">
        <v>36</v>
      </c>
      <c r="C27" s="48"/>
      <c r="D27" s="5">
        <v>1</v>
      </c>
      <c r="E27" s="11">
        <v>0.703131</v>
      </c>
      <c r="F27" s="5">
        <v>714.98</v>
      </c>
      <c r="G27" s="5">
        <f t="shared" si="0"/>
        <v>502.72460237999996</v>
      </c>
      <c r="H27" s="26">
        <v>1142.18</v>
      </c>
      <c r="I27" s="26">
        <v>550</v>
      </c>
      <c r="J27" s="26">
        <f t="shared" si="1"/>
        <v>277640.711309</v>
      </c>
      <c r="K27" s="30"/>
      <c r="L27" s="30"/>
    </row>
    <row r="28" spans="1:12" ht="81" customHeight="1">
      <c r="A28" s="4">
        <v>19</v>
      </c>
      <c r="B28" s="46" t="s">
        <v>37</v>
      </c>
      <c r="C28" s="47"/>
      <c r="D28" s="5">
        <v>1</v>
      </c>
      <c r="E28" s="11">
        <v>0.703131</v>
      </c>
      <c r="F28" s="5">
        <v>210.29</v>
      </c>
      <c r="G28" s="5">
        <f t="shared" si="0"/>
        <v>147.86141798999998</v>
      </c>
      <c r="H28" s="26">
        <v>415.34</v>
      </c>
      <c r="I28" s="26">
        <v>200</v>
      </c>
      <c r="J28" s="26">
        <f t="shared" si="1"/>
        <v>29987.623597999995</v>
      </c>
      <c r="K28" s="30"/>
      <c r="L28" s="30"/>
    </row>
    <row r="29" spans="1:12" ht="73.5" customHeight="1">
      <c r="A29" s="4">
        <v>20</v>
      </c>
      <c r="B29" s="46" t="s">
        <v>38</v>
      </c>
      <c r="C29" s="47"/>
      <c r="D29" s="5">
        <v>1</v>
      </c>
      <c r="E29" s="11">
        <v>0.703131</v>
      </c>
      <c r="F29" s="5">
        <v>2144.91</v>
      </c>
      <c r="G29" s="5">
        <f t="shared" si="0"/>
        <v>1508.1527132099998</v>
      </c>
      <c r="H29" s="26">
        <v>1246.02</v>
      </c>
      <c r="I29" s="26">
        <v>600</v>
      </c>
      <c r="J29" s="26">
        <f t="shared" si="1"/>
        <v>906137.6479259998</v>
      </c>
      <c r="K29" s="26">
        <f>SUM(J10:J29)</f>
        <v>50848462.057132885</v>
      </c>
      <c r="L29" s="30"/>
    </row>
    <row r="30" spans="1:12" ht="97.5" customHeight="1">
      <c r="A30" s="14">
        <v>21</v>
      </c>
      <c r="B30" s="43" t="s">
        <v>39</v>
      </c>
      <c r="C30" s="43"/>
      <c r="D30" s="5">
        <v>1</v>
      </c>
      <c r="E30" s="5">
        <v>1</v>
      </c>
      <c r="F30" s="12">
        <v>32825.79</v>
      </c>
      <c r="G30" s="5">
        <v>24293.16</v>
      </c>
      <c r="H30" s="26">
        <v>0</v>
      </c>
      <c r="I30" s="26">
        <v>25</v>
      </c>
      <c r="J30" s="26">
        <f t="shared" si="1"/>
        <v>607329</v>
      </c>
      <c r="K30" s="32"/>
      <c r="L30" s="30"/>
    </row>
    <row r="31" spans="1:12" ht="63.75" customHeight="1">
      <c r="A31" s="14">
        <v>22</v>
      </c>
      <c r="B31" s="43" t="s">
        <v>40</v>
      </c>
      <c r="C31" s="43"/>
      <c r="D31" s="5">
        <v>1</v>
      </c>
      <c r="E31" s="5">
        <v>1</v>
      </c>
      <c r="F31" s="13">
        <v>32825.79</v>
      </c>
      <c r="G31" s="5">
        <v>24293.16</v>
      </c>
      <c r="H31" s="26">
        <v>0</v>
      </c>
      <c r="I31" s="26">
        <v>1</v>
      </c>
      <c r="J31" s="26">
        <f t="shared" si="1"/>
        <v>24293.16</v>
      </c>
      <c r="K31" s="33"/>
      <c r="L31" s="30"/>
    </row>
    <row r="32" spans="1:12" ht="76.5" customHeight="1">
      <c r="A32" s="14">
        <v>23</v>
      </c>
      <c r="B32" s="43" t="s">
        <v>41</v>
      </c>
      <c r="C32" s="43"/>
      <c r="D32" s="5">
        <v>1</v>
      </c>
      <c r="E32" s="5">
        <v>1</v>
      </c>
      <c r="F32" s="13">
        <v>2226.23</v>
      </c>
      <c r="G32" s="5">
        <f t="shared" si="0"/>
        <v>2226.23</v>
      </c>
      <c r="H32" s="26">
        <v>0</v>
      </c>
      <c r="I32" s="26">
        <v>800</v>
      </c>
      <c r="J32" s="26">
        <f>G32*I32+H32</f>
        <v>1780984</v>
      </c>
      <c r="K32" s="30"/>
      <c r="L32" s="30"/>
    </row>
    <row r="33" spans="1:12" ht="66.75" customHeight="1">
      <c r="A33" s="14">
        <v>24</v>
      </c>
      <c r="B33" s="43" t="s">
        <v>42</v>
      </c>
      <c r="C33" s="43"/>
      <c r="D33" s="5">
        <v>1</v>
      </c>
      <c r="E33" s="5">
        <v>1</v>
      </c>
      <c r="F33" s="13">
        <v>1895</v>
      </c>
      <c r="G33" s="5">
        <f t="shared" si="0"/>
        <v>1895</v>
      </c>
      <c r="H33" s="26">
        <v>0</v>
      </c>
      <c r="I33" s="26">
        <v>80</v>
      </c>
      <c r="J33" s="26">
        <f t="shared" si="1"/>
        <v>151600</v>
      </c>
      <c r="K33" s="30"/>
      <c r="L33" s="30"/>
    </row>
    <row r="34" spans="1:12" ht="83.25" customHeight="1">
      <c r="A34" s="14">
        <v>25</v>
      </c>
      <c r="B34" s="43" t="s">
        <v>43</v>
      </c>
      <c r="C34" s="43"/>
      <c r="D34" s="5">
        <v>1</v>
      </c>
      <c r="E34" s="5">
        <v>1</v>
      </c>
      <c r="F34" s="13">
        <v>1895</v>
      </c>
      <c r="G34" s="5">
        <f t="shared" si="0"/>
        <v>1895</v>
      </c>
      <c r="H34" s="26">
        <v>0</v>
      </c>
      <c r="I34" s="26">
        <v>30</v>
      </c>
      <c r="J34" s="26">
        <f t="shared" si="1"/>
        <v>56850</v>
      </c>
      <c r="K34" s="30"/>
      <c r="L34" s="30"/>
    </row>
    <row r="35" spans="1:12" ht="79.5" customHeight="1">
      <c r="A35" s="14">
        <v>26</v>
      </c>
      <c r="B35" s="43" t="s">
        <v>44</v>
      </c>
      <c r="C35" s="43"/>
      <c r="D35" s="5">
        <v>1</v>
      </c>
      <c r="E35" s="5">
        <v>1</v>
      </c>
      <c r="F35" s="13">
        <v>2334.4</v>
      </c>
      <c r="G35" s="5">
        <f t="shared" si="0"/>
        <v>2334.4</v>
      </c>
      <c r="H35" s="26">
        <v>0</v>
      </c>
      <c r="I35" s="26">
        <v>150</v>
      </c>
      <c r="J35" s="26">
        <f t="shared" si="1"/>
        <v>350160</v>
      </c>
      <c r="K35" s="30"/>
      <c r="L35" s="30"/>
    </row>
    <row r="36" spans="1:12" ht="42.75" customHeight="1">
      <c r="A36" s="14">
        <v>27</v>
      </c>
      <c r="B36" s="43" t="s">
        <v>45</v>
      </c>
      <c r="C36" s="43"/>
      <c r="D36" s="5">
        <v>1</v>
      </c>
      <c r="E36" s="5">
        <v>1</v>
      </c>
      <c r="F36" s="13">
        <v>2003.85</v>
      </c>
      <c r="G36" s="5">
        <f t="shared" si="0"/>
        <v>2003.85</v>
      </c>
      <c r="H36" s="26">
        <v>0</v>
      </c>
      <c r="I36" s="26">
        <v>20</v>
      </c>
      <c r="J36" s="26">
        <f t="shared" si="1"/>
        <v>40077</v>
      </c>
      <c r="K36" s="30"/>
      <c r="L36" s="30"/>
    </row>
    <row r="37" spans="1:12" ht="100.5" customHeight="1">
      <c r="A37" s="14">
        <v>28</v>
      </c>
      <c r="B37" s="43" t="s">
        <v>46</v>
      </c>
      <c r="C37" s="43"/>
      <c r="D37" s="5">
        <v>1</v>
      </c>
      <c r="E37" s="5">
        <v>1</v>
      </c>
      <c r="F37" s="13">
        <v>1901</v>
      </c>
      <c r="G37" s="5">
        <f t="shared" si="0"/>
        <v>1901</v>
      </c>
      <c r="H37" s="26">
        <v>0</v>
      </c>
      <c r="I37" s="26">
        <v>10</v>
      </c>
      <c r="J37" s="26">
        <f t="shared" si="1"/>
        <v>19010</v>
      </c>
      <c r="K37" s="26">
        <f>SUM(J30:J37)</f>
        <v>3030303.16</v>
      </c>
      <c r="L37" s="34" t="s">
        <v>52</v>
      </c>
    </row>
    <row r="38" spans="1:12" ht="52.5" customHeight="1">
      <c r="A38" s="14">
        <v>29</v>
      </c>
      <c r="B38" s="43" t="s">
        <v>47</v>
      </c>
      <c r="C38" s="43"/>
      <c r="D38" s="5">
        <v>1</v>
      </c>
      <c r="E38" s="5">
        <v>1</v>
      </c>
      <c r="F38" s="13">
        <v>211.92</v>
      </c>
      <c r="G38" s="5">
        <f t="shared" si="0"/>
        <v>211.92</v>
      </c>
      <c r="H38" s="26">
        <v>0</v>
      </c>
      <c r="I38" s="26">
        <v>7008</v>
      </c>
      <c r="J38" s="26">
        <f t="shared" si="1"/>
        <v>1485135.3599999999</v>
      </c>
      <c r="K38" s="32"/>
      <c r="L38" s="30"/>
    </row>
    <row r="39" spans="1:12" ht="52.5" customHeight="1">
      <c r="A39" s="14">
        <v>30</v>
      </c>
      <c r="B39" s="44" t="s">
        <v>48</v>
      </c>
      <c r="C39" s="44"/>
      <c r="D39" s="5">
        <v>1</v>
      </c>
      <c r="E39" s="5">
        <v>1</v>
      </c>
      <c r="F39" s="13">
        <v>2532.8</v>
      </c>
      <c r="G39" s="5">
        <f t="shared" si="0"/>
        <v>2532.8</v>
      </c>
      <c r="H39" s="26">
        <v>0</v>
      </c>
      <c r="I39" s="26">
        <v>494</v>
      </c>
      <c r="J39" s="26">
        <f t="shared" si="1"/>
        <v>1251203.2000000002</v>
      </c>
      <c r="K39" s="32"/>
      <c r="L39" s="33"/>
    </row>
    <row r="40" spans="1:12" ht="62.25" customHeight="1">
      <c r="A40" s="14">
        <v>31</v>
      </c>
      <c r="B40" s="44" t="s">
        <v>49</v>
      </c>
      <c r="C40" s="44"/>
      <c r="D40" s="5">
        <v>1</v>
      </c>
      <c r="E40" s="5">
        <v>1</v>
      </c>
      <c r="F40" s="13">
        <v>8923.9</v>
      </c>
      <c r="G40" s="5">
        <f t="shared" si="0"/>
        <v>8923.9</v>
      </c>
      <c r="H40" s="26">
        <v>0</v>
      </c>
      <c r="I40" s="26">
        <v>125</v>
      </c>
      <c r="J40" s="26">
        <f t="shared" si="1"/>
        <v>1115487.5</v>
      </c>
      <c r="K40" s="32"/>
      <c r="L40" s="33"/>
    </row>
    <row r="41" spans="1:12" ht="60.75" customHeight="1">
      <c r="A41" s="14">
        <v>32</v>
      </c>
      <c r="B41" s="44" t="s">
        <v>50</v>
      </c>
      <c r="C41" s="44"/>
      <c r="D41" s="5">
        <v>1</v>
      </c>
      <c r="E41" s="5">
        <v>1</v>
      </c>
      <c r="F41" s="13">
        <v>166477.38</v>
      </c>
      <c r="G41" s="5">
        <f t="shared" si="0"/>
        <v>166477.38</v>
      </c>
      <c r="H41" s="26">
        <v>0</v>
      </c>
      <c r="I41" s="26">
        <v>26</v>
      </c>
      <c r="J41" s="26">
        <f t="shared" si="1"/>
        <v>4328411.88</v>
      </c>
      <c r="K41" s="26">
        <f>SUM(J38:J41)</f>
        <v>8180237.9399999995</v>
      </c>
      <c r="L41" s="34" t="s">
        <v>53</v>
      </c>
    </row>
    <row r="42" spans="9:12" ht="12.75">
      <c r="I42" s="30"/>
      <c r="J42" s="30"/>
      <c r="K42" s="32">
        <f>K29+K37+K41</f>
        <v>62059003.15713288</v>
      </c>
      <c r="L42" s="33" t="s">
        <v>59</v>
      </c>
    </row>
  </sheetData>
  <sheetProtection/>
  <mergeCells count="44">
    <mergeCell ref="B39:C39"/>
    <mergeCell ref="B40:C40"/>
    <mergeCell ref="B41:C41"/>
    <mergeCell ref="B31:C31"/>
    <mergeCell ref="B32:C32"/>
    <mergeCell ref="B33:C33"/>
    <mergeCell ref="B34:C34"/>
    <mergeCell ref="B35:C35"/>
    <mergeCell ref="B30:C30"/>
    <mergeCell ref="B20:C20"/>
    <mergeCell ref="B21:C21"/>
    <mergeCell ref="B22:C22"/>
    <mergeCell ref="B37:C37"/>
    <mergeCell ref="B38:C38"/>
    <mergeCell ref="B17:C17"/>
    <mergeCell ref="B8:C8"/>
    <mergeCell ref="B10:C10"/>
    <mergeCell ref="B12:C12"/>
    <mergeCell ref="B36:C36"/>
    <mergeCell ref="G1:H1"/>
    <mergeCell ref="B3:H3"/>
    <mergeCell ref="B4:H4"/>
    <mergeCell ref="H6:H7"/>
    <mergeCell ref="E6:E7"/>
    <mergeCell ref="B16:C16"/>
    <mergeCell ref="F6:F7"/>
    <mergeCell ref="G6:G7"/>
    <mergeCell ref="B29:C29"/>
    <mergeCell ref="B23:C23"/>
    <mergeCell ref="B24:C24"/>
    <mergeCell ref="B25:C25"/>
    <mergeCell ref="B26:C26"/>
    <mergeCell ref="B27:C27"/>
    <mergeCell ref="B28:C28"/>
    <mergeCell ref="B9:H9"/>
    <mergeCell ref="B18:C18"/>
    <mergeCell ref="B19:C19"/>
    <mergeCell ref="A6:A7"/>
    <mergeCell ref="B6:C7"/>
    <mergeCell ref="D6:D7"/>
    <mergeCell ref="B11:C11"/>
    <mergeCell ref="B13:C13"/>
    <mergeCell ref="B14:C14"/>
    <mergeCell ref="B15:C15"/>
  </mergeCells>
  <printOptions/>
  <pageMargins left="0.5905511811023623" right="0.2362204724409449" top="0.7480314960629921" bottom="0.15748031496062992" header="0" footer="0"/>
  <pageSetup fitToHeight="2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2" max="3" width="27.57421875" style="0" customWidth="1"/>
    <col min="4" max="4" width="20.140625" style="0" hidden="1" customWidth="1"/>
    <col min="5" max="5" width="20.140625" style="0" customWidth="1"/>
    <col min="6" max="6" width="18.7109375" style="0" customWidth="1"/>
    <col min="7" max="7" width="19.7109375" style="0" customWidth="1"/>
    <col min="8" max="9" width="20.140625" style="0" hidden="1" customWidth="1"/>
    <col min="10" max="10" width="20.421875" style="0" hidden="1" customWidth="1"/>
    <col min="11" max="11" width="12.7109375" style="0" hidden="1" customWidth="1"/>
    <col min="12" max="12" width="14.140625" style="0" hidden="1" customWidth="1"/>
    <col min="13" max="13" width="13.00390625" style="0" hidden="1" customWidth="1"/>
  </cols>
  <sheetData>
    <row r="1" spans="1:10" ht="77.25" customHeight="1">
      <c r="A1" s="24"/>
      <c r="B1" s="24"/>
      <c r="C1" s="1"/>
      <c r="D1" s="1"/>
      <c r="E1" s="1"/>
      <c r="F1" s="58" t="s">
        <v>67</v>
      </c>
      <c r="G1" s="58"/>
      <c r="H1" s="24"/>
      <c r="I1" s="24"/>
      <c r="J1" s="8"/>
    </row>
    <row r="2" spans="2:9" ht="15">
      <c r="B2" s="1"/>
      <c r="C2" s="1"/>
      <c r="D2" s="1"/>
      <c r="E2" s="1"/>
      <c r="F2" s="1"/>
      <c r="G2" s="1"/>
      <c r="H2" s="1"/>
      <c r="I2" s="1"/>
    </row>
    <row r="3" spans="2:9" ht="63.75" customHeight="1">
      <c r="B3" s="54" t="s">
        <v>56</v>
      </c>
      <c r="C3" s="55"/>
      <c r="D3" s="55"/>
      <c r="E3" s="55"/>
      <c r="F3" s="55"/>
      <c r="G3" s="55"/>
      <c r="H3" s="55"/>
      <c r="I3" s="55"/>
    </row>
    <row r="4" spans="2:9" ht="10.5" customHeight="1">
      <c r="B4" s="54"/>
      <c r="C4" s="54"/>
      <c r="D4" s="54"/>
      <c r="E4" s="54"/>
      <c r="F4" s="54"/>
      <c r="G4" s="54"/>
      <c r="H4" s="54"/>
      <c r="I4" s="54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27.75" customHeight="1">
      <c r="A6" s="53" t="s">
        <v>0</v>
      </c>
      <c r="B6" s="45" t="s">
        <v>13</v>
      </c>
      <c r="C6" s="45"/>
      <c r="D6" s="45" t="s">
        <v>19</v>
      </c>
      <c r="E6" s="45" t="s">
        <v>6</v>
      </c>
      <c r="F6" s="45" t="s">
        <v>7</v>
      </c>
      <c r="G6" s="61" t="s">
        <v>8</v>
      </c>
      <c r="H6" s="45" t="s">
        <v>4</v>
      </c>
      <c r="I6" s="63" t="s">
        <v>5</v>
      </c>
    </row>
    <row r="7" spans="1:9" ht="104.25" customHeight="1">
      <c r="A7" s="53"/>
      <c r="B7" s="45"/>
      <c r="C7" s="45"/>
      <c r="D7" s="45"/>
      <c r="E7" s="45"/>
      <c r="F7" s="45"/>
      <c r="G7" s="62"/>
      <c r="H7" s="45"/>
      <c r="I7" s="64"/>
    </row>
    <row r="8" spans="1:9" ht="15">
      <c r="A8" s="2">
        <v>1</v>
      </c>
      <c r="B8" s="49">
        <v>2</v>
      </c>
      <c r="C8" s="50"/>
      <c r="D8" s="25" t="s">
        <v>18</v>
      </c>
      <c r="E8" s="25">
        <v>3</v>
      </c>
      <c r="F8" s="25">
        <v>4</v>
      </c>
      <c r="G8" s="25">
        <v>5</v>
      </c>
      <c r="H8" s="25">
        <v>5</v>
      </c>
      <c r="I8" s="25">
        <v>6</v>
      </c>
    </row>
    <row r="9" spans="1:12" ht="29.25" customHeight="1">
      <c r="A9" s="3"/>
      <c r="B9" s="59" t="s">
        <v>10</v>
      </c>
      <c r="C9" s="60"/>
      <c r="D9" s="60"/>
      <c r="E9" s="60"/>
      <c r="F9" s="60"/>
      <c r="G9" s="60"/>
      <c r="H9" s="60"/>
      <c r="I9" s="60"/>
      <c r="J9" s="19" t="s">
        <v>14</v>
      </c>
      <c r="K9" s="19" t="s">
        <v>15</v>
      </c>
      <c r="L9" s="19" t="s">
        <v>16</v>
      </c>
    </row>
    <row r="10" spans="1:12" ht="65.25" customHeight="1">
      <c r="A10" s="4">
        <v>1</v>
      </c>
      <c r="B10" s="46" t="s">
        <v>17</v>
      </c>
      <c r="C10" s="47"/>
      <c r="D10" s="5">
        <v>269.87</v>
      </c>
      <c r="E10" s="5">
        <v>304.06</v>
      </c>
      <c r="F10" s="5">
        <v>1</v>
      </c>
      <c r="G10" s="11">
        <v>0.703131</v>
      </c>
      <c r="H10" s="5">
        <f>438.25</f>
        <v>438.25</v>
      </c>
      <c r="I10" s="5">
        <f>82.83+200.65</f>
        <v>283.48</v>
      </c>
      <c r="J10" s="6">
        <v>11</v>
      </c>
      <c r="K10" s="20">
        <v>22.84</v>
      </c>
      <c r="L10" s="6">
        <f aca="true" t="shared" si="0" ref="L10:L41">E10*J10+K10</f>
        <v>3367.5</v>
      </c>
    </row>
    <row r="11" spans="1:12" ht="67.5" customHeight="1">
      <c r="A11" s="4">
        <v>2</v>
      </c>
      <c r="B11" s="46" t="s">
        <v>20</v>
      </c>
      <c r="C11" s="47"/>
      <c r="D11" s="5">
        <v>459.69</v>
      </c>
      <c r="E11" s="5">
        <v>532.86</v>
      </c>
      <c r="F11" s="5">
        <v>1</v>
      </c>
      <c r="G11" s="11">
        <v>0.703131</v>
      </c>
      <c r="H11" s="5">
        <f>729.2</f>
        <v>729.2</v>
      </c>
      <c r="I11" s="5">
        <f>202300.19+490049.76</f>
        <v>692349.95</v>
      </c>
      <c r="J11" s="21">
        <v>26888</v>
      </c>
      <c r="K11" s="21">
        <v>55838.17</v>
      </c>
      <c r="L11" s="21">
        <f t="shared" si="0"/>
        <v>14383377.85</v>
      </c>
    </row>
    <row r="12" spans="1:12" ht="92.25" customHeight="1">
      <c r="A12" s="4">
        <v>3</v>
      </c>
      <c r="B12" s="46" t="s">
        <v>21</v>
      </c>
      <c r="C12" s="47"/>
      <c r="D12" s="5">
        <v>249.86</v>
      </c>
      <c r="E12" s="5">
        <v>307.01</v>
      </c>
      <c r="F12" s="5">
        <v>1</v>
      </c>
      <c r="G12" s="11">
        <v>0.703131</v>
      </c>
      <c r="H12" s="5">
        <f>228.46</f>
        <v>228.46</v>
      </c>
      <c r="I12" s="5">
        <f>150370.79+192425.4</f>
        <v>342796.19</v>
      </c>
      <c r="J12" s="21">
        <v>60500</v>
      </c>
      <c r="K12" s="21">
        <v>125640.04</v>
      </c>
      <c r="L12" s="21">
        <f t="shared" si="0"/>
        <v>18699745.04</v>
      </c>
    </row>
    <row r="13" spans="1:12" ht="63" customHeight="1">
      <c r="A13" s="4">
        <v>4</v>
      </c>
      <c r="B13" s="46" t="s">
        <v>22</v>
      </c>
      <c r="C13" s="47"/>
      <c r="D13" s="5">
        <v>364.27</v>
      </c>
      <c r="E13" s="5">
        <v>421.26</v>
      </c>
      <c r="F13" s="5">
        <v>1</v>
      </c>
      <c r="G13" s="11">
        <v>0.703131</v>
      </c>
      <c r="H13" s="5">
        <f>580.85</f>
        <v>580.85</v>
      </c>
      <c r="I13" s="5">
        <f>20672.58+50077.03</f>
        <v>70749.61</v>
      </c>
      <c r="J13" s="21">
        <v>3030</v>
      </c>
      <c r="K13" s="21">
        <v>6292.39</v>
      </c>
      <c r="L13" s="21">
        <f t="shared" si="0"/>
        <v>1282710.19</v>
      </c>
    </row>
    <row r="14" spans="1:12" ht="61.5" customHeight="1">
      <c r="A14" s="4">
        <v>5</v>
      </c>
      <c r="B14" s="46" t="s">
        <v>23</v>
      </c>
      <c r="C14" s="47"/>
      <c r="D14" s="5">
        <v>252570</v>
      </c>
      <c r="E14" s="5">
        <v>285003.03</v>
      </c>
      <c r="F14" s="5">
        <v>1</v>
      </c>
      <c r="G14" s="11">
        <v>0.703131</v>
      </c>
      <c r="H14" s="5">
        <f>363880</f>
        <v>363880</v>
      </c>
      <c r="I14" s="5">
        <f>7656.07+18545.99</f>
        <v>26202.06</v>
      </c>
      <c r="J14" s="21">
        <v>1</v>
      </c>
      <c r="K14" s="22">
        <v>2076.69</v>
      </c>
      <c r="L14" s="21">
        <f t="shared" si="0"/>
        <v>287079.72000000003</v>
      </c>
    </row>
    <row r="15" spans="1:12" ht="57.75" customHeight="1">
      <c r="A15" s="4">
        <v>6</v>
      </c>
      <c r="B15" s="46" t="s">
        <v>24</v>
      </c>
      <c r="C15" s="47"/>
      <c r="D15" s="5">
        <v>356670</v>
      </c>
      <c r="E15" s="5">
        <v>409379.03</v>
      </c>
      <c r="F15" s="5">
        <v>1</v>
      </c>
      <c r="G15" s="11">
        <v>0.703131</v>
      </c>
      <c r="H15" s="5">
        <f>466090</f>
        <v>466090</v>
      </c>
      <c r="I15" s="5">
        <f>80394.68+194747.2</f>
        <v>275141.88</v>
      </c>
      <c r="J15" s="21">
        <v>7</v>
      </c>
      <c r="K15" s="22">
        <v>14536.86</v>
      </c>
      <c r="L15" s="21">
        <f t="shared" si="0"/>
        <v>2880190.07</v>
      </c>
    </row>
    <row r="16" spans="1:12" ht="68.25" customHeight="1">
      <c r="A16" s="4">
        <v>7</v>
      </c>
      <c r="B16" s="46" t="s">
        <v>25</v>
      </c>
      <c r="C16" s="47"/>
      <c r="D16" s="5">
        <v>319.27</v>
      </c>
      <c r="E16" s="5">
        <v>366.37</v>
      </c>
      <c r="F16" s="5">
        <v>1</v>
      </c>
      <c r="G16" s="11">
        <v>0.703131</v>
      </c>
      <c r="H16" s="5">
        <f>429.24</f>
        <v>429.24</v>
      </c>
      <c r="I16" s="5">
        <f>502.91+1218.24</f>
        <v>1721.15</v>
      </c>
      <c r="J16" s="21">
        <v>72</v>
      </c>
      <c r="K16" s="22">
        <v>149.52</v>
      </c>
      <c r="L16" s="21">
        <f t="shared" si="0"/>
        <v>26528.16</v>
      </c>
    </row>
    <row r="17" spans="1:12" ht="80.25" customHeight="1">
      <c r="A17" s="4">
        <v>8</v>
      </c>
      <c r="B17" s="46" t="s">
        <v>26</v>
      </c>
      <c r="C17" s="47"/>
      <c r="D17" s="5">
        <v>204.66</v>
      </c>
      <c r="E17" s="5">
        <v>229.23</v>
      </c>
      <c r="F17" s="5">
        <v>1</v>
      </c>
      <c r="G17" s="11">
        <v>0.703131</v>
      </c>
      <c r="H17" s="5">
        <f>316.73</f>
        <v>316.73</v>
      </c>
      <c r="I17" s="5">
        <f>3916.79+9487.98</f>
        <v>13404.77</v>
      </c>
      <c r="J17" s="21">
        <v>457</v>
      </c>
      <c r="K17" s="22">
        <v>949.05</v>
      </c>
      <c r="L17" s="21">
        <f t="shared" si="0"/>
        <v>105707.16</v>
      </c>
    </row>
    <row r="18" spans="1:12" ht="81" customHeight="1">
      <c r="A18" s="4">
        <v>9</v>
      </c>
      <c r="B18" s="46" t="s">
        <v>27</v>
      </c>
      <c r="C18" s="47"/>
      <c r="D18" s="5">
        <v>587.05</v>
      </c>
      <c r="E18" s="5">
        <v>686.28</v>
      </c>
      <c r="F18" s="5">
        <v>1</v>
      </c>
      <c r="G18" s="11">
        <v>0.703131</v>
      </c>
      <c r="H18" s="5">
        <f>692.12</f>
        <v>692.12</v>
      </c>
      <c r="I18" s="5">
        <f>3916.79+9487.98</f>
        <v>13404.77</v>
      </c>
      <c r="J18" s="21">
        <v>457</v>
      </c>
      <c r="K18" s="22">
        <v>949.05</v>
      </c>
      <c r="L18" s="21">
        <f t="shared" si="0"/>
        <v>314579.00999999995</v>
      </c>
    </row>
    <row r="19" spans="1:12" ht="51.75" customHeight="1">
      <c r="A19" s="4">
        <v>10</v>
      </c>
      <c r="B19" s="56" t="s">
        <v>28</v>
      </c>
      <c r="C19" s="57"/>
      <c r="D19" s="5">
        <v>158.4</v>
      </c>
      <c r="E19" s="5">
        <v>173.38</v>
      </c>
      <c r="F19" s="5">
        <v>1</v>
      </c>
      <c r="G19" s="11">
        <v>0.703131</v>
      </c>
      <c r="H19" s="5">
        <f>298.35</f>
        <v>298.35</v>
      </c>
      <c r="I19" s="5">
        <f>43794.63+106087.63</f>
        <v>149882.26</v>
      </c>
      <c r="J19" s="21">
        <v>160050</v>
      </c>
      <c r="K19" s="22">
        <v>332375.02</v>
      </c>
      <c r="L19" s="21">
        <f t="shared" si="0"/>
        <v>28081844.02</v>
      </c>
    </row>
    <row r="20" spans="1:12" ht="54" customHeight="1">
      <c r="A20" s="4">
        <v>11</v>
      </c>
      <c r="B20" s="46" t="s">
        <v>29</v>
      </c>
      <c r="C20" s="47"/>
      <c r="D20" s="5">
        <v>203.994918</v>
      </c>
      <c r="E20" s="5">
        <v>437.07</v>
      </c>
      <c r="F20" s="5">
        <v>1</v>
      </c>
      <c r="G20" s="11">
        <v>0.703131</v>
      </c>
      <c r="H20" s="5">
        <f>316.35</f>
        <v>316.35</v>
      </c>
      <c r="I20" s="5">
        <f>17826.7+43183.2</f>
        <v>61009.899999999994</v>
      </c>
      <c r="J20" s="21">
        <v>877</v>
      </c>
      <c r="K20" s="21">
        <v>1821.26</v>
      </c>
      <c r="L20" s="21">
        <f t="shared" si="0"/>
        <v>385131.65</v>
      </c>
    </row>
    <row r="21" spans="1:12" ht="65.25" customHeight="1">
      <c r="A21" s="4">
        <v>12</v>
      </c>
      <c r="B21" s="46" t="s">
        <v>30</v>
      </c>
      <c r="C21" s="47"/>
      <c r="D21" s="5">
        <v>288.415959</v>
      </c>
      <c r="E21" s="5">
        <v>670.42</v>
      </c>
      <c r="F21" s="5">
        <v>1</v>
      </c>
      <c r="G21" s="11">
        <v>0.703131</v>
      </c>
      <c r="H21" s="5">
        <f>396.99</f>
        <v>396.99</v>
      </c>
      <c r="I21" s="5">
        <f>24837.86+60166.97</f>
        <v>85004.83</v>
      </c>
      <c r="J21" s="21">
        <v>3506</v>
      </c>
      <c r="K21" s="21">
        <v>7280.89</v>
      </c>
      <c r="L21" s="21">
        <f t="shared" si="0"/>
        <v>2357773.41</v>
      </c>
    </row>
    <row r="22" spans="1:12" ht="58.5" customHeight="1">
      <c r="A22" s="4">
        <v>13</v>
      </c>
      <c r="B22" s="46" t="s">
        <v>31</v>
      </c>
      <c r="C22" s="47"/>
      <c r="D22" s="5">
        <v>149.02</v>
      </c>
      <c r="E22" s="5">
        <v>207.29</v>
      </c>
      <c r="F22" s="5">
        <v>1</v>
      </c>
      <c r="G22" s="11">
        <v>0.703131</v>
      </c>
      <c r="H22" s="5">
        <f>130.91</f>
        <v>130.91</v>
      </c>
      <c r="I22" s="5">
        <f>19.57+25.05</f>
        <v>44.620000000000005</v>
      </c>
      <c r="J22" s="21">
        <v>14</v>
      </c>
      <c r="K22" s="21">
        <v>29.07</v>
      </c>
      <c r="L22" s="21">
        <f t="shared" si="0"/>
        <v>2931.13</v>
      </c>
    </row>
    <row r="23" spans="1:12" ht="74.25" customHeight="1">
      <c r="A23" s="4">
        <v>14</v>
      </c>
      <c r="B23" s="46" t="s">
        <v>32</v>
      </c>
      <c r="C23" s="47"/>
      <c r="D23" s="5">
        <v>2498.76</v>
      </c>
      <c r="E23" s="5">
        <v>2454.77</v>
      </c>
      <c r="F23" s="5">
        <v>1</v>
      </c>
      <c r="G23" s="11">
        <v>0.703131</v>
      </c>
      <c r="H23" s="5">
        <f>2329.82</f>
        <v>2329.82</v>
      </c>
      <c r="I23" s="5">
        <f>569.78+729.14</f>
        <v>1298.92</v>
      </c>
      <c r="J23" s="21">
        <v>350</v>
      </c>
      <c r="K23" s="21">
        <v>726.84</v>
      </c>
      <c r="L23" s="21">
        <f t="shared" si="0"/>
        <v>859896.34</v>
      </c>
    </row>
    <row r="24" spans="1:12" ht="54" customHeight="1">
      <c r="A24" s="4">
        <v>15</v>
      </c>
      <c r="B24" s="46" t="s">
        <v>33</v>
      </c>
      <c r="C24" s="47"/>
      <c r="D24" s="5">
        <v>379.29</v>
      </c>
      <c r="E24" s="5">
        <v>236.96</v>
      </c>
      <c r="F24" s="5">
        <v>1</v>
      </c>
      <c r="G24" s="11">
        <v>0.703131</v>
      </c>
      <c r="H24" s="5">
        <f>488.11</f>
        <v>488.11</v>
      </c>
      <c r="I24" s="5">
        <f>7011.16+16983.77</f>
        <v>23994.93</v>
      </c>
      <c r="J24" s="21">
        <v>2629</v>
      </c>
      <c r="K24" s="21">
        <v>5459.63</v>
      </c>
      <c r="L24" s="21">
        <f t="shared" si="0"/>
        <v>628427.47</v>
      </c>
    </row>
    <row r="25" spans="1:12" ht="54" customHeight="1">
      <c r="A25" s="4">
        <v>16</v>
      </c>
      <c r="B25" s="56" t="s">
        <v>34</v>
      </c>
      <c r="C25" s="57"/>
      <c r="D25" s="5">
        <v>203.790588</v>
      </c>
      <c r="E25" s="5">
        <v>229.23</v>
      </c>
      <c r="F25" s="5">
        <v>1</v>
      </c>
      <c r="G25" s="11">
        <v>0.703131</v>
      </c>
      <c r="H25" s="5">
        <f>317.11</f>
        <v>317.11</v>
      </c>
      <c r="I25" s="5">
        <f>402.33+974.6</f>
        <v>1376.93</v>
      </c>
      <c r="J25" s="21">
        <v>66</v>
      </c>
      <c r="K25" s="21">
        <v>137.06</v>
      </c>
      <c r="L25" s="21">
        <f t="shared" si="0"/>
        <v>15266.239999999998</v>
      </c>
    </row>
    <row r="26" spans="1:12" ht="54" customHeight="1">
      <c r="A26" s="4">
        <v>17</v>
      </c>
      <c r="B26" s="56" t="s">
        <v>35</v>
      </c>
      <c r="C26" s="57"/>
      <c r="D26" s="5">
        <v>546.80058</v>
      </c>
      <c r="E26" s="5">
        <v>639.65</v>
      </c>
      <c r="F26" s="5">
        <v>1</v>
      </c>
      <c r="G26" s="11">
        <v>0.703131</v>
      </c>
      <c r="H26" s="5">
        <f>653.87</f>
        <v>653.87</v>
      </c>
      <c r="I26" s="5">
        <f>402.33+974.6</f>
        <v>1376.93</v>
      </c>
      <c r="J26" s="21">
        <v>66</v>
      </c>
      <c r="K26" s="21">
        <v>137.06</v>
      </c>
      <c r="L26" s="21">
        <f t="shared" si="0"/>
        <v>42353.96</v>
      </c>
    </row>
    <row r="27" spans="1:12" ht="81" customHeight="1">
      <c r="A27" s="4">
        <v>18</v>
      </c>
      <c r="B27" s="56" t="s">
        <v>36</v>
      </c>
      <c r="C27" s="57"/>
      <c r="D27" s="5">
        <v>606.28398</v>
      </c>
      <c r="E27" s="5">
        <v>714.98</v>
      </c>
      <c r="F27" s="5">
        <v>1</v>
      </c>
      <c r="G27" s="11">
        <v>0.703131</v>
      </c>
      <c r="H27" s="5">
        <f>846.17</f>
        <v>846.17</v>
      </c>
      <c r="I27" s="5">
        <f>1550.15+3755.06</f>
        <v>5305.21</v>
      </c>
      <c r="J27" s="21">
        <v>550</v>
      </c>
      <c r="K27" s="21">
        <v>1142.18</v>
      </c>
      <c r="L27" s="21">
        <f t="shared" si="0"/>
        <v>394381.18</v>
      </c>
    </row>
    <row r="28" spans="1:12" ht="87.75" customHeight="1">
      <c r="A28" s="4">
        <v>19</v>
      </c>
      <c r="B28" s="46" t="s">
        <v>37</v>
      </c>
      <c r="C28" s="47"/>
      <c r="D28" s="5">
        <v>150.5</v>
      </c>
      <c r="E28" s="5">
        <v>210.29</v>
      </c>
      <c r="F28" s="5">
        <v>1</v>
      </c>
      <c r="G28" s="11">
        <v>0.703131</v>
      </c>
      <c r="H28" s="5">
        <f>132.39</f>
        <v>132.39</v>
      </c>
      <c r="I28" s="5">
        <f>232.7+297.78</f>
        <v>530.48</v>
      </c>
      <c r="J28" s="21">
        <v>200</v>
      </c>
      <c r="K28" s="21">
        <v>415.34</v>
      </c>
      <c r="L28" s="21">
        <f t="shared" si="0"/>
        <v>42473.34</v>
      </c>
    </row>
    <row r="29" spans="1:13" ht="84" customHeight="1">
      <c r="A29" s="4">
        <v>20</v>
      </c>
      <c r="B29" s="46" t="s">
        <v>38</v>
      </c>
      <c r="C29" s="47"/>
      <c r="D29" s="5">
        <v>2468.18</v>
      </c>
      <c r="E29" s="5">
        <v>2144.91</v>
      </c>
      <c r="F29" s="5">
        <v>1</v>
      </c>
      <c r="G29" s="11">
        <v>0.703131</v>
      </c>
      <c r="H29" s="5">
        <f>1870.5</f>
        <v>1870.5</v>
      </c>
      <c r="I29" s="5">
        <f>615.45+787.58</f>
        <v>1403.0300000000002</v>
      </c>
      <c r="J29" s="21">
        <v>600</v>
      </c>
      <c r="K29" s="21">
        <v>1246.02</v>
      </c>
      <c r="L29" s="21">
        <f t="shared" si="0"/>
        <v>1288192.02</v>
      </c>
      <c r="M29" s="10">
        <f>SUM(L10:L29)</f>
        <v>72081955.45999998</v>
      </c>
    </row>
    <row r="30" spans="1:12" ht="90.75" customHeight="1">
      <c r="A30" s="4">
        <v>21</v>
      </c>
      <c r="B30" s="66" t="s">
        <v>39</v>
      </c>
      <c r="C30" s="67"/>
      <c r="D30" s="12">
        <v>29949.78</v>
      </c>
      <c r="E30" s="12">
        <v>24293.16</v>
      </c>
      <c r="F30" s="5">
        <v>1</v>
      </c>
      <c r="G30" s="5">
        <v>1</v>
      </c>
      <c r="H30" s="7"/>
      <c r="I30" s="7">
        <f>SUM(I28:I29)</f>
        <v>1933.5100000000002</v>
      </c>
      <c r="J30" s="21">
        <v>25</v>
      </c>
      <c r="K30" s="21">
        <v>0</v>
      </c>
      <c r="L30" s="21">
        <f t="shared" si="0"/>
        <v>607329</v>
      </c>
    </row>
    <row r="31" spans="1:12" ht="63" customHeight="1">
      <c r="A31" s="4">
        <v>22</v>
      </c>
      <c r="B31" s="66" t="s">
        <v>40</v>
      </c>
      <c r="C31" s="67"/>
      <c r="D31" s="13">
        <v>29949.78</v>
      </c>
      <c r="E31" s="13">
        <v>24293.16</v>
      </c>
      <c r="F31" s="5">
        <v>1</v>
      </c>
      <c r="G31" s="5">
        <v>1</v>
      </c>
      <c r="J31" s="21">
        <v>1</v>
      </c>
      <c r="K31" s="21">
        <v>0</v>
      </c>
      <c r="L31" s="21">
        <f t="shared" si="0"/>
        <v>24293.16</v>
      </c>
    </row>
    <row r="32" spans="1:12" ht="80.25" customHeight="1">
      <c r="A32" s="4">
        <v>23</v>
      </c>
      <c r="B32" s="66" t="s">
        <v>41</v>
      </c>
      <c r="C32" s="67"/>
      <c r="D32" s="13">
        <v>1500.74</v>
      </c>
      <c r="E32" s="13">
        <v>2226.23</v>
      </c>
      <c r="F32" s="5">
        <v>1</v>
      </c>
      <c r="G32" s="5">
        <v>1</v>
      </c>
      <c r="J32" s="21">
        <v>800</v>
      </c>
      <c r="K32" s="21">
        <v>0</v>
      </c>
      <c r="L32" s="21">
        <f t="shared" si="0"/>
        <v>1780984</v>
      </c>
    </row>
    <row r="33" spans="1:12" ht="62.25" customHeight="1">
      <c r="A33" s="4">
        <v>24</v>
      </c>
      <c r="B33" s="66" t="s">
        <v>42</v>
      </c>
      <c r="C33" s="67"/>
      <c r="D33" s="13">
        <v>1098.47</v>
      </c>
      <c r="E33" s="13">
        <v>1895</v>
      </c>
      <c r="F33" s="5">
        <v>1</v>
      </c>
      <c r="G33" s="5">
        <v>1</v>
      </c>
      <c r="J33" s="21">
        <v>80</v>
      </c>
      <c r="K33" s="21">
        <v>0</v>
      </c>
      <c r="L33" s="21">
        <f t="shared" si="0"/>
        <v>151600</v>
      </c>
    </row>
    <row r="34" spans="1:12" ht="78" customHeight="1">
      <c r="A34" s="4">
        <v>25</v>
      </c>
      <c r="B34" s="66" t="s">
        <v>43</v>
      </c>
      <c r="C34" s="67"/>
      <c r="D34" s="13">
        <v>1301.4</v>
      </c>
      <c r="E34" s="13">
        <v>1895</v>
      </c>
      <c r="F34" s="5">
        <v>1</v>
      </c>
      <c r="G34" s="5">
        <v>1</v>
      </c>
      <c r="J34" s="21">
        <v>30</v>
      </c>
      <c r="K34" s="21">
        <v>0</v>
      </c>
      <c r="L34" s="21">
        <f t="shared" si="0"/>
        <v>56850</v>
      </c>
    </row>
    <row r="35" spans="1:12" ht="78.75" customHeight="1">
      <c r="A35" s="4">
        <v>26</v>
      </c>
      <c r="B35" s="66" t="s">
        <v>44</v>
      </c>
      <c r="C35" s="67"/>
      <c r="D35" s="13">
        <v>1144.685</v>
      </c>
      <c r="E35" s="13">
        <v>2334.4</v>
      </c>
      <c r="F35" s="5">
        <v>1</v>
      </c>
      <c r="G35" s="5">
        <v>1</v>
      </c>
      <c r="J35" s="21">
        <v>150</v>
      </c>
      <c r="K35" s="21">
        <v>0</v>
      </c>
      <c r="L35" s="21">
        <f t="shared" si="0"/>
        <v>350160</v>
      </c>
    </row>
    <row r="36" spans="1:12" ht="52.5" customHeight="1">
      <c r="A36" s="4">
        <v>27</v>
      </c>
      <c r="B36" s="66" t="s">
        <v>45</v>
      </c>
      <c r="C36" s="67"/>
      <c r="D36" s="13">
        <v>1233.76</v>
      </c>
      <c r="E36" s="13">
        <v>2003.85</v>
      </c>
      <c r="F36" s="5">
        <v>1</v>
      </c>
      <c r="G36" s="5">
        <v>1</v>
      </c>
      <c r="J36" s="21">
        <v>20</v>
      </c>
      <c r="K36" s="21">
        <v>0</v>
      </c>
      <c r="L36" s="21">
        <f t="shared" si="0"/>
        <v>40077</v>
      </c>
    </row>
    <row r="37" spans="1:13" ht="92.25" customHeight="1">
      <c r="A37" s="4">
        <v>28</v>
      </c>
      <c r="B37" s="66" t="s">
        <v>46</v>
      </c>
      <c r="C37" s="67"/>
      <c r="D37" s="13">
        <v>1472.34</v>
      </c>
      <c r="E37" s="13">
        <v>1901</v>
      </c>
      <c r="F37" s="5">
        <v>1</v>
      </c>
      <c r="G37" s="5">
        <v>1</v>
      </c>
      <c r="J37" s="21">
        <v>10</v>
      </c>
      <c r="K37" s="21">
        <v>0</v>
      </c>
      <c r="L37" s="21">
        <f t="shared" si="0"/>
        <v>19010</v>
      </c>
      <c r="M37" s="10">
        <f>SUM(L30:L37)</f>
        <v>3030303.16</v>
      </c>
    </row>
    <row r="38" spans="1:13" ht="49.5" customHeight="1">
      <c r="A38" s="4">
        <v>29</v>
      </c>
      <c r="B38" s="43" t="s">
        <v>47</v>
      </c>
      <c r="C38" s="43"/>
      <c r="D38" s="13">
        <v>0</v>
      </c>
      <c r="E38" s="13">
        <v>211.92</v>
      </c>
      <c r="F38" s="5">
        <v>1</v>
      </c>
      <c r="G38" s="5">
        <v>1</v>
      </c>
      <c r="J38" s="21">
        <v>7008</v>
      </c>
      <c r="K38" s="21">
        <v>0</v>
      </c>
      <c r="L38" s="21">
        <f t="shared" si="0"/>
        <v>1485135.3599999999</v>
      </c>
      <c r="M38" s="10"/>
    </row>
    <row r="39" spans="1:13" ht="47.25" customHeight="1">
      <c r="A39" s="4">
        <v>30</v>
      </c>
      <c r="B39" s="44" t="s">
        <v>48</v>
      </c>
      <c r="C39" s="44"/>
      <c r="D39" s="13">
        <v>0</v>
      </c>
      <c r="E39" s="13">
        <v>2532.8</v>
      </c>
      <c r="F39" s="5">
        <v>1</v>
      </c>
      <c r="G39" s="5">
        <v>1</v>
      </c>
      <c r="J39" s="21">
        <v>494</v>
      </c>
      <c r="K39" s="21">
        <v>0</v>
      </c>
      <c r="L39" s="21">
        <f t="shared" si="0"/>
        <v>1251203.2000000002</v>
      </c>
      <c r="M39" s="10"/>
    </row>
    <row r="40" spans="1:13" ht="66.75" customHeight="1">
      <c r="A40" s="4">
        <v>31</v>
      </c>
      <c r="B40" s="44" t="s">
        <v>49</v>
      </c>
      <c r="C40" s="44"/>
      <c r="D40" s="13">
        <v>0</v>
      </c>
      <c r="E40" s="13">
        <v>8923.9</v>
      </c>
      <c r="F40" s="5">
        <v>1</v>
      </c>
      <c r="G40" s="5">
        <v>1</v>
      </c>
      <c r="J40" s="21">
        <v>125</v>
      </c>
      <c r="K40" s="21">
        <v>0</v>
      </c>
      <c r="L40" s="21">
        <f t="shared" si="0"/>
        <v>1115487.5</v>
      </c>
      <c r="M40" s="10"/>
    </row>
    <row r="41" spans="1:13" ht="48" customHeight="1">
      <c r="A41" s="4">
        <v>32</v>
      </c>
      <c r="B41" s="44" t="s">
        <v>50</v>
      </c>
      <c r="C41" s="44"/>
      <c r="D41" s="13">
        <v>0</v>
      </c>
      <c r="E41" s="13">
        <v>166477.38</v>
      </c>
      <c r="F41" s="5">
        <v>1</v>
      </c>
      <c r="G41" s="5">
        <v>1</v>
      </c>
      <c r="J41" s="21">
        <v>26</v>
      </c>
      <c r="K41" s="21">
        <v>0</v>
      </c>
      <c r="L41" s="21">
        <f t="shared" si="0"/>
        <v>4328411.88</v>
      </c>
      <c r="M41" s="21">
        <f>SUM(L38:L41)</f>
        <v>8180237.9399999995</v>
      </c>
    </row>
    <row r="42" spans="1:12" ht="12.75">
      <c r="A42" s="16"/>
      <c r="B42" s="65"/>
      <c r="C42" s="65"/>
      <c r="D42" s="16"/>
      <c r="E42" s="16"/>
      <c r="F42" s="16"/>
      <c r="G42" s="17"/>
      <c r="J42" s="10"/>
      <c r="K42" s="10"/>
      <c r="L42" s="23"/>
    </row>
    <row r="43" spans="10:13" ht="12.75">
      <c r="J43" s="10"/>
      <c r="K43" s="10"/>
      <c r="L43" s="23" t="s">
        <v>51</v>
      </c>
      <c r="M43" s="10">
        <f>M29+M37+M41</f>
        <v>83292496.55999997</v>
      </c>
    </row>
  </sheetData>
  <sheetProtection/>
  <mergeCells count="46"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F1:G1"/>
    <mergeCell ref="B3:I3"/>
    <mergeCell ref="B4:I4"/>
    <mergeCell ref="I6:I7"/>
    <mergeCell ref="B9:I9"/>
    <mergeCell ref="B30:C30"/>
    <mergeCell ref="B24:C24"/>
    <mergeCell ref="B25:C25"/>
    <mergeCell ref="B26:C26"/>
    <mergeCell ref="B28:C28"/>
    <mergeCell ref="B17:C17"/>
    <mergeCell ref="B29:C29"/>
    <mergeCell ref="B18:C18"/>
    <mergeCell ref="B19:C19"/>
    <mergeCell ref="B20:C20"/>
    <mergeCell ref="B21:C21"/>
    <mergeCell ref="B22:C22"/>
    <mergeCell ref="B23:C23"/>
    <mergeCell ref="B10:C10"/>
    <mergeCell ref="B12:C12"/>
    <mergeCell ref="B13:C13"/>
    <mergeCell ref="B14:C14"/>
    <mergeCell ref="B15:C15"/>
    <mergeCell ref="B16:C16"/>
    <mergeCell ref="H6:H7"/>
    <mergeCell ref="B8:C8"/>
    <mergeCell ref="B11:C11"/>
    <mergeCell ref="B27:C27"/>
    <mergeCell ref="A6:A7"/>
    <mergeCell ref="B6:C7"/>
    <mergeCell ref="D6:D7"/>
    <mergeCell ref="E6:E7"/>
    <mergeCell ref="F6:F7"/>
    <mergeCell ref="G6:G7"/>
  </mergeCells>
  <printOptions/>
  <pageMargins left="0.5905511811023623" right="0.2362204724409449" top="0.7480314960629921" bottom="0.15748031496062992" header="0" footer="0"/>
  <pageSetup fitToHeight="2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2" max="3" width="27.57421875" style="0" customWidth="1"/>
    <col min="4" max="4" width="17.00390625" style="0" customWidth="1"/>
    <col min="5" max="5" width="19.7109375" style="0" customWidth="1"/>
    <col min="6" max="6" width="19.7109375" style="0" hidden="1" customWidth="1"/>
    <col min="7" max="8" width="20.140625" style="0" customWidth="1"/>
    <col min="9" max="9" width="20.421875" style="0" hidden="1" customWidth="1"/>
    <col min="10" max="10" width="14.7109375" style="0" hidden="1" customWidth="1"/>
    <col min="11" max="11" width="13.28125" style="0" hidden="1" customWidth="1"/>
    <col min="12" max="12" width="14.00390625" style="0" hidden="1" customWidth="1"/>
  </cols>
  <sheetData>
    <row r="1" spans="2:9" ht="47.25" customHeight="1">
      <c r="B1" s="1"/>
      <c r="C1" s="1"/>
      <c r="D1" s="1"/>
      <c r="E1" s="1"/>
      <c r="F1" s="1"/>
      <c r="G1" s="51" t="s">
        <v>68</v>
      </c>
      <c r="H1" s="51"/>
      <c r="I1" s="8"/>
    </row>
    <row r="2" spans="2:8" ht="15">
      <c r="B2" s="1"/>
      <c r="C2" s="1"/>
      <c r="D2" s="1"/>
      <c r="E2" s="1"/>
      <c r="F2" s="1"/>
      <c r="G2" s="1"/>
      <c r="H2" s="1"/>
    </row>
    <row r="3" spans="2:8" ht="90" customHeight="1">
      <c r="B3" s="54" t="s">
        <v>57</v>
      </c>
      <c r="C3" s="55"/>
      <c r="D3" s="55"/>
      <c r="E3" s="55"/>
      <c r="F3" s="55"/>
      <c r="G3" s="55"/>
      <c r="H3" s="55"/>
    </row>
    <row r="4" spans="2:8" ht="10.5" customHeight="1">
      <c r="B4" s="54"/>
      <c r="C4" s="54"/>
      <c r="D4" s="54"/>
      <c r="E4" s="54"/>
      <c r="F4" s="54"/>
      <c r="G4" s="54"/>
      <c r="H4" s="54"/>
    </row>
    <row r="5" spans="2:8" ht="15">
      <c r="B5" s="1"/>
      <c r="C5" s="1"/>
      <c r="D5" s="1"/>
      <c r="E5" s="1"/>
      <c r="F5" s="1"/>
      <c r="G5" s="1"/>
      <c r="H5" s="1"/>
    </row>
    <row r="6" spans="1:12" ht="27.75" customHeight="1">
      <c r="A6" s="53" t="s">
        <v>0</v>
      </c>
      <c r="B6" s="45" t="s">
        <v>1</v>
      </c>
      <c r="C6" s="45"/>
      <c r="D6" s="45" t="s">
        <v>2</v>
      </c>
      <c r="E6" s="61" t="s">
        <v>3</v>
      </c>
      <c r="F6" s="45" t="s">
        <v>6</v>
      </c>
      <c r="G6" s="45" t="s">
        <v>9</v>
      </c>
      <c r="H6" s="63" t="s">
        <v>5</v>
      </c>
      <c r="I6" s="33" t="s">
        <v>62</v>
      </c>
      <c r="J6" s="33" t="s">
        <v>62</v>
      </c>
      <c r="K6" s="30"/>
      <c r="L6" s="30"/>
    </row>
    <row r="7" spans="1:12" ht="125.25" customHeight="1">
      <c r="A7" s="53"/>
      <c r="B7" s="45"/>
      <c r="C7" s="45"/>
      <c r="D7" s="45"/>
      <c r="E7" s="62"/>
      <c r="F7" s="45"/>
      <c r="G7" s="45"/>
      <c r="H7" s="64"/>
      <c r="I7" s="33" t="s">
        <v>14</v>
      </c>
      <c r="J7" s="33" t="s">
        <v>16</v>
      </c>
      <c r="K7" s="30"/>
      <c r="L7" s="30"/>
    </row>
    <row r="8" spans="1:12" ht="15">
      <c r="A8" s="2">
        <v>1</v>
      </c>
      <c r="B8" s="49">
        <v>2</v>
      </c>
      <c r="C8" s="50"/>
      <c r="D8" s="38">
        <v>3</v>
      </c>
      <c r="E8" s="38">
        <v>4</v>
      </c>
      <c r="F8" s="38" t="s">
        <v>18</v>
      </c>
      <c r="G8" s="38">
        <v>5</v>
      </c>
      <c r="H8" s="38">
        <v>6</v>
      </c>
      <c r="I8" s="30"/>
      <c r="J8" s="30"/>
      <c r="K8" s="30"/>
      <c r="L8" s="30"/>
    </row>
    <row r="9" spans="1:12" ht="30" customHeight="1">
      <c r="A9" s="3"/>
      <c r="B9" s="59" t="s">
        <v>10</v>
      </c>
      <c r="C9" s="60"/>
      <c r="D9" s="60"/>
      <c r="E9" s="60"/>
      <c r="F9" s="60"/>
      <c r="G9" s="60"/>
      <c r="H9" s="68"/>
      <c r="I9" s="31"/>
      <c r="J9" s="31"/>
      <c r="K9" s="30"/>
      <c r="L9" s="30"/>
    </row>
    <row r="10" spans="1:12" ht="69" customHeight="1">
      <c r="A10" s="4">
        <v>1</v>
      </c>
      <c r="B10" s="46" t="s">
        <v>17</v>
      </c>
      <c r="C10" s="47"/>
      <c r="D10" s="5">
        <v>1</v>
      </c>
      <c r="E10" s="11">
        <v>0.678297</v>
      </c>
      <c r="F10" s="5">
        <v>314.01</v>
      </c>
      <c r="G10" s="5">
        <f>F10*E10</f>
        <v>212.99204097</v>
      </c>
      <c r="H10" s="5">
        <v>22.84</v>
      </c>
      <c r="I10" s="27">
        <v>11</v>
      </c>
      <c r="J10" s="26">
        <f>G10*I10+H10</f>
        <v>2365.75245067</v>
      </c>
      <c r="K10" s="30"/>
      <c r="L10" s="30"/>
    </row>
    <row r="11" spans="1:12" ht="67.5" customHeight="1">
      <c r="A11" s="4">
        <v>2</v>
      </c>
      <c r="B11" s="46" t="s">
        <v>20</v>
      </c>
      <c r="C11" s="47"/>
      <c r="D11" s="5">
        <v>1</v>
      </c>
      <c r="E11" s="11">
        <v>0.678297</v>
      </c>
      <c r="F11" s="5">
        <v>552.5</v>
      </c>
      <c r="G11" s="5">
        <f aca="true" t="shared" si="0" ref="G11:G41">F11*E11</f>
        <v>374.7590925</v>
      </c>
      <c r="H11" s="26">
        <v>55838.17</v>
      </c>
      <c r="I11" s="26">
        <v>26888</v>
      </c>
      <c r="J11" s="26">
        <f aca="true" t="shared" si="1" ref="J11:J41">G11*I11+H11</f>
        <v>10132360.64914</v>
      </c>
      <c r="K11" s="30"/>
      <c r="L11" s="30"/>
    </row>
    <row r="12" spans="1:12" ht="94.5" customHeight="1">
      <c r="A12" s="4">
        <v>3</v>
      </c>
      <c r="B12" s="46" t="s">
        <v>21</v>
      </c>
      <c r="C12" s="47"/>
      <c r="D12" s="5">
        <v>1</v>
      </c>
      <c r="E12" s="11">
        <v>0.678297</v>
      </c>
      <c r="F12" s="5">
        <v>314.14</v>
      </c>
      <c r="G12" s="5">
        <f t="shared" si="0"/>
        <v>213.08021958</v>
      </c>
      <c r="H12" s="26">
        <v>125640.04</v>
      </c>
      <c r="I12" s="26">
        <v>60500</v>
      </c>
      <c r="J12" s="26">
        <f t="shared" si="1"/>
        <v>13016993.32459</v>
      </c>
      <c r="K12" s="30"/>
      <c r="L12" s="30"/>
    </row>
    <row r="13" spans="1:12" ht="63" customHeight="1">
      <c r="A13" s="4">
        <v>4</v>
      </c>
      <c r="B13" s="46" t="s">
        <v>22</v>
      </c>
      <c r="C13" s="47"/>
      <c r="D13" s="5">
        <v>1</v>
      </c>
      <c r="E13" s="11">
        <v>0.678297</v>
      </c>
      <c r="F13" s="5">
        <v>435.83</v>
      </c>
      <c r="G13" s="5">
        <f t="shared" si="0"/>
        <v>295.62218151</v>
      </c>
      <c r="H13" s="26">
        <v>6292.39</v>
      </c>
      <c r="I13" s="26">
        <v>3030</v>
      </c>
      <c r="J13" s="26">
        <f t="shared" si="1"/>
        <v>902027.5999753</v>
      </c>
      <c r="K13" s="30"/>
      <c r="L13" s="30"/>
    </row>
    <row r="14" spans="1:12" ht="61.5" customHeight="1">
      <c r="A14" s="4">
        <v>5</v>
      </c>
      <c r="B14" s="46" t="s">
        <v>23</v>
      </c>
      <c r="C14" s="47"/>
      <c r="D14" s="5">
        <v>1</v>
      </c>
      <c r="E14" s="11">
        <v>0.678297</v>
      </c>
      <c r="F14" s="5">
        <v>294500.87</v>
      </c>
      <c r="G14" s="5">
        <f t="shared" si="0"/>
        <v>199759.05661839002</v>
      </c>
      <c r="H14" s="40">
        <v>2076.69</v>
      </c>
      <c r="I14" s="26">
        <v>1</v>
      </c>
      <c r="J14" s="26">
        <f t="shared" si="1"/>
        <v>201835.74661839003</v>
      </c>
      <c r="K14" s="30"/>
      <c r="L14" s="30"/>
    </row>
    <row r="15" spans="1:12" ht="71.25" customHeight="1">
      <c r="A15" s="4">
        <v>6</v>
      </c>
      <c r="B15" s="46" t="s">
        <v>24</v>
      </c>
      <c r="C15" s="47"/>
      <c r="D15" s="5">
        <v>1</v>
      </c>
      <c r="E15" s="11">
        <v>0.678297</v>
      </c>
      <c r="F15" s="5">
        <v>423952.87</v>
      </c>
      <c r="G15" s="5">
        <f t="shared" si="0"/>
        <v>287565.95986239</v>
      </c>
      <c r="H15" s="40">
        <v>14536.86</v>
      </c>
      <c r="I15" s="26">
        <v>7</v>
      </c>
      <c r="J15" s="26">
        <f t="shared" si="1"/>
        <v>2027498.57903673</v>
      </c>
      <c r="K15" s="30"/>
      <c r="L15" s="30"/>
    </row>
    <row r="16" spans="1:12" ht="65.25" customHeight="1">
      <c r="A16" s="4">
        <v>7</v>
      </c>
      <c r="B16" s="46" t="s">
        <v>25</v>
      </c>
      <c r="C16" s="47"/>
      <c r="D16" s="5">
        <v>1</v>
      </c>
      <c r="E16" s="11">
        <v>0.678297</v>
      </c>
      <c r="F16" s="5">
        <v>379.48</v>
      </c>
      <c r="G16" s="5">
        <f t="shared" si="0"/>
        <v>257.40014556000006</v>
      </c>
      <c r="H16" s="40">
        <v>149.52</v>
      </c>
      <c r="I16" s="26">
        <v>72</v>
      </c>
      <c r="J16" s="26">
        <f t="shared" si="1"/>
        <v>18682.330480320004</v>
      </c>
      <c r="K16" s="30"/>
      <c r="L16" s="30"/>
    </row>
    <row r="17" spans="1:12" ht="87" customHeight="1">
      <c r="A17" s="4">
        <v>8</v>
      </c>
      <c r="B17" s="46" t="s">
        <v>26</v>
      </c>
      <c r="C17" s="47"/>
      <c r="D17" s="5">
        <v>1</v>
      </c>
      <c r="E17" s="11">
        <v>0.678297</v>
      </c>
      <c r="F17" s="5">
        <v>236.7</v>
      </c>
      <c r="G17" s="5">
        <f t="shared" si="0"/>
        <v>160.5528999</v>
      </c>
      <c r="H17" s="40">
        <v>949.05</v>
      </c>
      <c r="I17" s="26">
        <v>457</v>
      </c>
      <c r="J17" s="26">
        <f t="shared" si="1"/>
        <v>74321.7252543</v>
      </c>
      <c r="K17" s="30"/>
      <c r="L17" s="30"/>
    </row>
    <row r="18" spans="1:12" ht="72" customHeight="1">
      <c r="A18" s="4">
        <v>9</v>
      </c>
      <c r="B18" s="46" t="s">
        <v>27</v>
      </c>
      <c r="C18" s="47"/>
      <c r="D18" s="5">
        <v>1</v>
      </c>
      <c r="E18" s="11">
        <v>0.678297</v>
      </c>
      <c r="F18" s="5">
        <v>712.59</v>
      </c>
      <c r="G18" s="5">
        <f t="shared" si="0"/>
        <v>483.34765923000003</v>
      </c>
      <c r="H18" s="40">
        <v>949.05</v>
      </c>
      <c r="I18" s="26">
        <v>457</v>
      </c>
      <c r="J18" s="26">
        <f t="shared" si="1"/>
        <v>221838.93026811</v>
      </c>
      <c r="K18" s="30"/>
      <c r="L18" s="30"/>
    </row>
    <row r="19" spans="1:12" ht="51.75" customHeight="1">
      <c r="A19" s="4">
        <v>10</v>
      </c>
      <c r="B19" s="56" t="s">
        <v>28</v>
      </c>
      <c r="C19" s="57"/>
      <c r="D19" s="5">
        <v>1</v>
      </c>
      <c r="E19" s="11">
        <v>0.678297</v>
      </c>
      <c r="F19" s="5">
        <v>178.59</v>
      </c>
      <c r="G19" s="5">
        <f t="shared" si="0"/>
        <v>121.13706123000001</v>
      </c>
      <c r="H19" s="40">
        <v>332375.02</v>
      </c>
      <c r="I19" s="26">
        <v>160050</v>
      </c>
      <c r="J19" s="26">
        <f>G19*I19+H19-2.91</f>
        <v>19720358.759861503</v>
      </c>
      <c r="K19" s="30"/>
      <c r="L19" s="30"/>
    </row>
    <row r="20" spans="1:12" ht="54" customHeight="1">
      <c r="A20" s="4">
        <v>11</v>
      </c>
      <c r="B20" s="46" t="s">
        <v>29</v>
      </c>
      <c r="C20" s="47"/>
      <c r="D20" s="5">
        <v>1</v>
      </c>
      <c r="E20" s="11">
        <v>0.678297</v>
      </c>
      <c r="F20" s="5">
        <v>453</v>
      </c>
      <c r="G20" s="5">
        <f t="shared" si="0"/>
        <v>307.268541</v>
      </c>
      <c r="H20" s="26">
        <v>1821.26</v>
      </c>
      <c r="I20" s="26">
        <v>877</v>
      </c>
      <c r="J20" s="26">
        <f t="shared" si="1"/>
        <v>271295.770457</v>
      </c>
      <c r="K20" s="30"/>
      <c r="L20" s="30"/>
    </row>
    <row r="21" spans="1:12" ht="67.5" customHeight="1">
      <c r="A21" s="4">
        <v>12</v>
      </c>
      <c r="B21" s="46" t="s">
        <v>30</v>
      </c>
      <c r="C21" s="47"/>
      <c r="D21" s="5">
        <v>1</v>
      </c>
      <c r="E21" s="11">
        <v>0.678297</v>
      </c>
      <c r="F21" s="5">
        <v>694.8</v>
      </c>
      <c r="G21" s="5">
        <f t="shared" si="0"/>
        <v>471.2807556</v>
      </c>
      <c r="H21" s="26">
        <v>7280.89</v>
      </c>
      <c r="I21" s="26">
        <v>3506</v>
      </c>
      <c r="J21" s="26">
        <f t="shared" si="1"/>
        <v>1659591.2191336</v>
      </c>
      <c r="K21" s="30"/>
      <c r="L21" s="30"/>
    </row>
    <row r="22" spans="1:12" ht="57.75" customHeight="1">
      <c r="A22" s="4">
        <v>13</v>
      </c>
      <c r="B22" s="46" t="s">
        <v>31</v>
      </c>
      <c r="C22" s="47"/>
      <c r="D22" s="5">
        <v>1</v>
      </c>
      <c r="E22" s="11">
        <v>0.678297</v>
      </c>
      <c r="F22" s="5">
        <v>213.86</v>
      </c>
      <c r="G22" s="5">
        <f t="shared" si="0"/>
        <v>145.06059642000002</v>
      </c>
      <c r="H22" s="26">
        <v>29.07</v>
      </c>
      <c r="I22" s="26">
        <v>14</v>
      </c>
      <c r="J22" s="26">
        <f t="shared" si="1"/>
        <v>2059.9183498800003</v>
      </c>
      <c r="K22" s="30"/>
      <c r="L22" s="30"/>
    </row>
    <row r="23" spans="1:12" ht="52.5" customHeight="1">
      <c r="A23" s="4">
        <v>14</v>
      </c>
      <c r="B23" s="46" t="s">
        <v>32</v>
      </c>
      <c r="C23" s="47"/>
      <c r="D23" s="5">
        <v>1</v>
      </c>
      <c r="E23" s="11">
        <v>0.678297</v>
      </c>
      <c r="F23" s="5">
        <v>2481.98</v>
      </c>
      <c r="G23" s="5">
        <f t="shared" si="0"/>
        <v>1683.5195880600002</v>
      </c>
      <c r="H23" s="26">
        <v>726.84</v>
      </c>
      <c r="I23" s="26">
        <v>350</v>
      </c>
      <c r="J23" s="26">
        <f t="shared" si="1"/>
        <v>589958.695821</v>
      </c>
      <c r="K23" s="30"/>
      <c r="L23" s="30"/>
    </row>
    <row r="24" spans="1:12" ht="54" customHeight="1">
      <c r="A24" s="4">
        <v>15</v>
      </c>
      <c r="B24" s="46" t="s">
        <v>33</v>
      </c>
      <c r="C24" s="47"/>
      <c r="D24" s="5">
        <v>1</v>
      </c>
      <c r="E24" s="11">
        <v>0.678297</v>
      </c>
      <c r="F24" s="5">
        <v>244.43</v>
      </c>
      <c r="G24" s="5">
        <f t="shared" si="0"/>
        <v>165.79613571000002</v>
      </c>
      <c r="H24" s="26">
        <v>5459.63</v>
      </c>
      <c r="I24" s="26">
        <v>2629</v>
      </c>
      <c r="J24" s="26">
        <f t="shared" si="1"/>
        <v>441337.67078159004</v>
      </c>
      <c r="K24" s="30"/>
      <c r="L24" s="30"/>
    </row>
    <row r="25" spans="1:12" ht="54" customHeight="1">
      <c r="A25" s="4">
        <v>16</v>
      </c>
      <c r="B25" s="56" t="s">
        <v>34</v>
      </c>
      <c r="C25" s="57"/>
      <c r="D25" s="5">
        <v>1</v>
      </c>
      <c r="E25" s="11">
        <v>0.678297</v>
      </c>
      <c r="F25" s="5">
        <v>236.7</v>
      </c>
      <c r="G25" s="5">
        <f t="shared" si="0"/>
        <v>160.5528999</v>
      </c>
      <c r="H25" s="26">
        <v>137.06</v>
      </c>
      <c r="I25" s="26">
        <v>66</v>
      </c>
      <c r="J25" s="26">
        <f t="shared" si="1"/>
        <v>10733.5513934</v>
      </c>
      <c r="K25" s="30"/>
      <c r="L25" s="30"/>
    </row>
    <row r="26" spans="1:12" ht="54" customHeight="1">
      <c r="A26" s="4">
        <v>17</v>
      </c>
      <c r="B26" s="56" t="s">
        <v>35</v>
      </c>
      <c r="C26" s="57"/>
      <c r="D26" s="5">
        <v>1</v>
      </c>
      <c r="E26" s="11">
        <v>0.678297</v>
      </c>
      <c r="F26" s="5">
        <v>664.04</v>
      </c>
      <c r="G26" s="5">
        <f t="shared" si="0"/>
        <v>450.41633988</v>
      </c>
      <c r="H26" s="26">
        <v>137.06</v>
      </c>
      <c r="I26" s="26">
        <v>66</v>
      </c>
      <c r="J26" s="26">
        <f t="shared" si="1"/>
        <v>29864.53843208</v>
      </c>
      <c r="K26" s="30"/>
      <c r="L26" s="30"/>
    </row>
    <row r="27" spans="1:12" ht="86.25" customHeight="1">
      <c r="A27" s="4">
        <v>18</v>
      </c>
      <c r="B27" s="56" t="s">
        <v>36</v>
      </c>
      <c r="C27" s="57"/>
      <c r="D27" s="5">
        <v>1</v>
      </c>
      <c r="E27" s="11">
        <v>0.67833</v>
      </c>
      <c r="F27" s="5">
        <v>742.19</v>
      </c>
      <c r="G27" s="5">
        <f t="shared" si="0"/>
        <v>503.4497427</v>
      </c>
      <c r="H27" s="26">
        <v>1142.18</v>
      </c>
      <c r="I27" s="26">
        <v>550</v>
      </c>
      <c r="J27" s="26">
        <f t="shared" si="1"/>
        <v>278039.53848499997</v>
      </c>
      <c r="K27" s="30"/>
      <c r="L27" s="30"/>
    </row>
    <row r="28" spans="1:12" ht="81" customHeight="1">
      <c r="A28" s="4">
        <v>19</v>
      </c>
      <c r="B28" s="46" t="s">
        <v>37</v>
      </c>
      <c r="C28" s="47"/>
      <c r="D28" s="5">
        <v>1</v>
      </c>
      <c r="E28" s="11">
        <v>0.678297</v>
      </c>
      <c r="F28" s="5">
        <v>216.86</v>
      </c>
      <c r="G28" s="5">
        <f t="shared" si="0"/>
        <v>147.09548742</v>
      </c>
      <c r="H28" s="26">
        <v>415.34</v>
      </c>
      <c r="I28" s="26">
        <v>200</v>
      </c>
      <c r="J28" s="26">
        <f t="shared" si="1"/>
        <v>29834.437484000002</v>
      </c>
      <c r="K28" s="30"/>
      <c r="L28" s="30"/>
    </row>
    <row r="29" spans="1:12" ht="73.5" customHeight="1">
      <c r="A29" s="4">
        <v>20</v>
      </c>
      <c r="B29" s="46" t="s">
        <v>38</v>
      </c>
      <c r="C29" s="47"/>
      <c r="D29" s="5">
        <v>1</v>
      </c>
      <c r="E29" s="11">
        <v>0.678297</v>
      </c>
      <c r="F29" s="5">
        <v>2230.77</v>
      </c>
      <c r="G29" s="5">
        <f t="shared" si="0"/>
        <v>1513.12459869</v>
      </c>
      <c r="H29" s="26">
        <v>1246.02</v>
      </c>
      <c r="I29" s="26">
        <v>600</v>
      </c>
      <c r="J29" s="26">
        <f t="shared" si="1"/>
        <v>909120.7792140001</v>
      </c>
      <c r="K29" s="26">
        <f>SUM(J10:J29)</f>
        <v>50540119.51722687</v>
      </c>
      <c r="L29" s="30"/>
    </row>
    <row r="30" spans="1:12" ht="97.5" customHeight="1">
      <c r="A30" s="14">
        <v>21</v>
      </c>
      <c r="B30" s="66" t="s">
        <v>39</v>
      </c>
      <c r="C30" s="67"/>
      <c r="D30" s="5">
        <v>1</v>
      </c>
      <c r="E30" s="5">
        <v>1</v>
      </c>
      <c r="F30" s="12">
        <v>33033.99</v>
      </c>
      <c r="G30" s="5">
        <v>22740.39</v>
      </c>
      <c r="H30" s="26">
        <v>0</v>
      </c>
      <c r="I30" s="26">
        <v>25</v>
      </c>
      <c r="J30" s="26">
        <f t="shared" si="1"/>
        <v>568509.75</v>
      </c>
      <c r="K30" s="32"/>
      <c r="L30" s="30"/>
    </row>
    <row r="31" spans="1:12" ht="63.75" customHeight="1">
      <c r="A31" s="14">
        <v>22</v>
      </c>
      <c r="B31" s="66" t="s">
        <v>40</v>
      </c>
      <c r="C31" s="67"/>
      <c r="D31" s="5">
        <v>1</v>
      </c>
      <c r="E31" s="5">
        <v>1</v>
      </c>
      <c r="F31" s="13">
        <v>33033.99</v>
      </c>
      <c r="G31" s="5">
        <v>22740.39</v>
      </c>
      <c r="H31" s="26">
        <v>0</v>
      </c>
      <c r="I31" s="26">
        <v>1</v>
      </c>
      <c r="J31" s="26">
        <f t="shared" si="1"/>
        <v>22740.39</v>
      </c>
      <c r="K31" s="33"/>
      <c r="L31" s="30"/>
    </row>
    <row r="32" spans="1:12" ht="76.5" customHeight="1">
      <c r="A32" s="14">
        <v>23</v>
      </c>
      <c r="B32" s="66" t="s">
        <v>41</v>
      </c>
      <c r="C32" s="67"/>
      <c r="D32" s="5">
        <v>1</v>
      </c>
      <c r="E32" s="5">
        <v>1</v>
      </c>
      <c r="F32" s="13">
        <v>2264.32</v>
      </c>
      <c r="G32" s="5">
        <f t="shared" si="0"/>
        <v>2264.32</v>
      </c>
      <c r="H32" s="26">
        <v>0</v>
      </c>
      <c r="I32" s="26">
        <v>800</v>
      </c>
      <c r="J32" s="26">
        <f>G32*I32+H32</f>
        <v>1811456.0000000002</v>
      </c>
      <c r="K32" s="30"/>
      <c r="L32" s="30"/>
    </row>
    <row r="33" spans="1:12" ht="66.75" customHeight="1">
      <c r="A33" s="14">
        <v>24</v>
      </c>
      <c r="B33" s="66" t="s">
        <v>42</v>
      </c>
      <c r="C33" s="67"/>
      <c r="D33" s="5">
        <v>1</v>
      </c>
      <c r="E33" s="5">
        <v>1</v>
      </c>
      <c r="F33" s="13">
        <v>1919.56</v>
      </c>
      <c r="G33" s="5">
        <f t="shared" si="0"/>
        <v>1919.56</v>
      </c>
      <c r="H33" s="26">
        <v>0</v>
      </c>
      <c r="I33" s="26">
        <v>80</v>
      </c>
      <c r="J33" s="26">
        <f t="shared" si="1"/>
        <v>153564.8</v>
      </c>
      <c r="K33" s="30"/>
      <c r="L33" s="30"/>
    </row>
    <row r="34" spans="1:12" ht="83.25" customHeight="1">
      <c r="A34" s="14">
        <v>25</v>
      </c>
      <c r="B34" s="66" t="s">
        <v>43</v>
      </c>
      <c r="C34" s="67"/>
      <c r="D34" s="5">
        <v>1</v>
      </c>
      <c r="E34" s="5">
        <v>1</v>
      </c>
      <c r="F34" s="13">
        <v>1919.56</v>
      </c>
      <c r="G34" s="5">
        <f t="shared" si="0"/>
        <v>1919.56</v>
      </c>
      <c r="H34" s="26">
        <v>0</v>
      </c>
      <c r="I34" s="26">
        <v>30</v>
      </c>
      <c r="J34" s="26">
        <f t="shared" si="1"/>
        <v>57586.799999999996</v>
      </c>
      <c r="K34" s="30"/>
      <c r="L34" s="30"/>
    </row>
    <row r="35" spans="1:12" ht="79.5" customHeight="1">
      <c r="A35" s="14">
        <v>26</v>
      </c>
      <c r="B35" s="66" t="s">
        <v>44</v>
      </c>
      <c r="C35" s="67"/>
      <c r="D35" s="5">
        <v>1</v>
      </c>
      <c r="E35" s="5">
        <v>1</v>
      </c>
      <c r="F35" s="13">
        <v>2376.88</v>
      </c>
      <c r="G35" s="5">
        <f t="shared" si="0"/>
        <v>2376.88</v>
      </c>
      <c r="H35" s="26">
        <v>0</v>
      </c>
      <c r="I35" s="26">
        <v>150</v>
      </c>
      <c r="J35" s="26">
        <f t="shared" si="1"/>
        <v>356532</v>
      </c>
      <c r="K35" s="30"/>
      <c r="L35" s="30"/>
    </row>
    <row r="36" spans="1:12" ht="42.75" customHeight="1">
      <c r="A36" s="14">
        <v>27</v>
      </c>
      <c r="B36" s="66" t="s">
        <v>45</v>
      </c>
      <c r="C36" s="67"/>
      <c r="D36" s="5">
        <v>1</v>
      </c>
      <c r="E36" s="5">
        <v>1</v>
      </c>
      <c r="F36" s="13">
        <v>2032.89</v>
      </c>
      <c r="G36" s="5">
        <f t="shared" si="0"/>
        <v>2032.89</v>
      </c>
      <c r="H36" s="26">
        <v>0</v>
      </c>
      <c r="I36" s="26">
        <v>20</v>
      </c>
      <c r="J36" s="26">
        <f t="shared" si="1"/>
        <v>40657.8</v>
      </c>
      <c r="K36" s="30"/>
      <c r="L36" s="30"/>
    </row>
    <row r="37" spans="1:12" ht="100.5" customHeight="1">
      <c r="A37" s="14">
        <v>28</v>
      </c>
      <c r="B37" s="66" t="s">
        <v>46</v>
      </c>
      <c r="C37" s="67"/>
      <c r="D37" s="5">
        <v>1</v>
      </c>
      <c r="E37" s="5">
        <v>1</v>
      </c>
      <c r="F37" s="13">
        <v>1901</v>
      </c>
      <c r="G37" s="5">
        <v>1925.56</v>
      </c>
      <c r="H37" s="26">
        <v>0</v>
      </c>
      <c r="I37" s="26">
        <v>10</v>
      </c>
      <c r="J37" s="26">
        <f t="shared" si="1"/>
        <v>19255.6</v>
      </c>
      <c r="K37" s="26">
        <f>SUM(J30:J37)</f>
        <v>3030303.1399999997</v>
      </c>
      <c r="L37" s="34" t="s">
        <v>52</v>
      </c>
    </row>
    <row r="38" spans="1:12" ht="52.5" customHeight="1">
      <c r="A38" s="14">
        <v>29</v>
      </c>
      <c r="B38" s="43" t="s">
        <v>47</v>
      </c>
      <c r="C38" s="43"/>
      <c r="D38" s="5">
        <v>1</v>
      </c>
      <c r="E38" s="5">
        <v>1</v>
      </c>
      <c r="F38" s="13">
        <v>219.6</v>
      </c>
      <c r="G38" s="5">
        <f t="shared" si="0"/>
        <v>219.6</v>
      </c>
      <c r="H38" s="26">
        <v>0</v>
      </c>
      <c r="I38" s="26">
        <v>7008</v>
      </c>
      <c r="J38" s="26">
        <f>G38*I38+H38</f>
        <v>1538956.8</v>
      </c>
      <c r="K38" s="32"/>
      <c r="L38" s="30"/>
    </row>
    <row r="39" spans="1:12" ht="52.5" customHeight="1">
      <c r="A39" s="14">
        <v>30</v>
      </c>
      <c r="B39" s="44" t="s">
        <v>48</v>
      </c>
      <c r="C39" s="44"/>
      <c r="D39" s="5">
        <v>1</v>
      </c>
      <c r="E39" s="5">
        <v>1</v>
      </c>
      <c r="F39" s="13">
        <v>2629.29</v>
      </c>
      <c r="G39" s="5">
        <f t="shared" si="0"/>
        <v>2629.29</v>
      </c>
      <c r="H39" s="26">
        <v>0</v>
      </c>
      <c r="I39" s="26">
        <v>494</v>
      </c>
      <c r="J39" s="26">
        <f t="shared" si="1"/>
        <v>1298869.26</v>
      </c>
      <c r="K39" s="32"/>
      <c r="L39" s="33"/>
    </row>
    <row r="40" spans="1:12" ht="62.25" customHeight="1">
      <c r="A40" s="14">
        <v>31</v>
      </c>
      <c r="B40" s="44" t="s">
        <v>49</v>
      </c>
      <c r="C40" s="44"/>
      <c r="D40" s="5">
        <v>1</v>
      </c>
      <c r="E40" s="5">
        <v>1</v>
      </c>
      <c r="F40" s="13">
        <v>9263.86</v>
      </c>
      <c r="G40" s="5">
        <f t="shared" si="0"/>
        <v>9263.86</v>
      </c>
      <c r="H40" s="26">
        <v>0</v>
      </c>
      <c r="I40" s="26">
        <v>125</v>
      </c>
      <c r="J40" s="26">
        <f t="shared" si="1"/>
        <v>1157982.5</v>
      </c>
      <c r="K40" s="32"/>
      <c r="L40" s="33"/>
    </row>
    <row r="41" spans="1:12" ht="60.75" customHeight="1">
      <c r="A41" s="14">
        <v>32</v>
      </c>
      <c r="B41" s="44" t="s">
        <v>50</v>
      </c>
      <c r="C41" s="44"/>
      <c r="D41" s="5">
        <v>1</v>
      </c>
      <c r="E41" s="5">
        <v>1</v>
      </c>
      <c r="F41" s="13">
        <v>172798.92</v>
      </c>
      <c r="G41" s="5">
        <f t="shared" si="0"/>
        <v>172798.92</v>
      </c>
      <c r="H41" s="26">
        <v>0</v>
      </c>
      <c r="I41" s="26">
        <v>26</v>
      </c>
      <c r="J41" s="26">
        <f t="shared" si="1"/>
        <v>4492771.92</v>
      </c>
      <c r="K41" s="26">
        <f>SUM(J38:J41)</f>
        <v>8488580.48</v>
      </c>
      <c r="L41" s="34" t="s">
        <v>53</v>
      </c>
    </row>
    <row r="42" spans="9:12" ht="12.75">
      <c r="I42" s="30"/>
      <c r="J42" s="30"/>
      <c r="K42" s="32">
        <f>K29+K37+K41</f>
        <v>62059003.137226865</v>
      </c>
      <c r="L42" s="33" t="s">
        <v>63</v>
      </c>
    </row>
  </sheetData>
  <sheetProtection/>
  <mergeCells count="44">
    <mergeCell ref="A6:A7"/>
    <mergeCell ref="B6:C7"/>
    <mergeCell ref="D6:D7"/>
    <mergeCell ref="E6:E7"/>
    <mergeCell ref="F6:F7"/>
    <mergeCell ref="G6:G7"/>
    <mergeCell ref="B8:C8"/>
    <mergeCell ref="B10:C10"/>
    <mergeCell ref="B11:C11"/>
    <mergeCell ref="B12:C12"/>
    <mergeCell ref="B13:C13"/>
    <mergeCell ref="G1:H1"/>
    <mergeCell ref="B3:H3"/>
    <mergeCell ref="B4:H4"/>
    <mergeCell ref="H6:H7"/>
    <mergeCell ref="B9:H9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</mergeCells>
  <printOptions/>
  <pageMargins left="0.5905511811023623" right="0.2362204724409449" top="0.7480314960629921" bottom="0.15748031496062992" header="0" footer="0"/>
  <pageSetup fitToHeight="2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1">
      <selection activeCell="F11" sqref="F11"/>
    </sheetView>
  </sheetViews>
  <sheetFormatPr defaultColWidth="9.140625" defaultRowHeight="12.75"/>
  <cols>
    <col min="2" max="3" width="27.57421875" style="0" customWidth="1"/>
    <col min="4" max="4" width="20.140625" style="0" hidden="1" customWidth="1"/>
    <col min="5" max="5" width="20.140625" style="0" customWidth="1"/>
    <col min="6" max="6" width="18.7109375" style="0" customWidth="1"/>
    <col min="7" max="7" width="19.7109375" style="0" customWidth="1"/>
    <col min="8" max="9" width="20.140625" style="0" hidden="1" customWidth="1"/>
    <col min="10" max="10" width="20.421875" style="0" hidden="1" customWidth="1"/>
    <col min="11" max="11" width="12.7109375" style="0" hidden="1" customWidth="1"/>
    <col min="12" max="12" width="14.140625" style="0" hidden="1" customWidth="1"/>
    <col min="13" max="13" width="13.00390625" style="0" hidden="1" customWidth="1"/>
  </cols>
  <sheetData>
    <row r="1" spans="1:10" ht="77.25" customHeight="1">
      <c r="A1" s="29"/>
      <c r="B1" s="29"/>
      <c r="C1" s="1"/>
      <c r="D1" s="1"/>
      <c r="E1" s="1"/>
      <c r="F1" s="58" t="s">
        <v>69</v>
      </c>
      <c r="G1" s="58"/>
      <c r="H1" s="29"/>
      <c r="I1" s="29"/>
      <c r="J1" s="8"/>
    </row>
    <row r="2" spans="2:9" ht="15">
      <c r="B2" s="1"/>
      <c r="C2" s="1"/>
      <c r="D2" s="1"/>
      <c r="E2" s="1"/>
      <c r="F2" s="1"/>
      <c r="G2" s="1"/>
      <c r="H2" s="1"/>
      <c r="I2" s="1"/>
    </row>
    <row r="3" spans="1:9" ht="63.75" customHeight="1">
      <c r="A3" s="54" t="s">
        <v>58</v>
      </c>
      <c r="B3" s="54"/>
      <c r="C3" s="54"/>
      <c r="D3" s="54"/>
      <c r="E3" s="54"/>
      <c r="F3" s="54"/>
      <c r="G3" s="54"/>
      <c r="H3" s="37"/>
      <c r="I3" s="37"/>
    </row>
    <row r="4" spans="2:9" ht="10.5" customHeight="1">
      <c r="B4" s="54"/>
      <c r="C4" s="54"/>
      <c r="D4" s="54"/>
      <c r="E4" s="54"/>
      <c r="F4" s="54"/>
      <c r="G4" s="54"/>
      <c r="H4" s="54"/>
      <c r="I4" s="54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27.75" customHeight="1">
      <c r="A6" s="53" t="s">
        <v>0</v>
      </c>
      <c r="B6" s="45" t="s">
        <v>13</v>
      </c>
      <c r="C6" s="45"/>
      <c r="D6" s="45" t="s">
        <v>19</v>
      </c>
      <c r="E6" s="45" t="s">
        <v>6</v>
      </c>
      <c r="F6" s="45" t="s">
        <v>7</v>
      </c>
      <c r="G6" s="61" t="s">
        <v>8</v>
      </c>
      <c r="H6" s="69" t="s">
        <v>64</v>
      </c>
      <c r="I6" s="63" t="s">
        <v>5</v>
      </c>
    </row>
    <row r="7" spans="1:9" ht="104.25" customHeight="1">
      <c r="A7" s="53"/>
      <c r="B7" s="45"/>
      <c r="C7" s="45"/>
      <c r="D7" s="45"/>
      <c r="E7" s="45"/>
      <c r="F7" s="45"/>
      <c r="G7" s="62"/>
      <c r="H7" s="69"/>
      <c r="I7" s="64"/>
    </row>
    <row r="8" spans="1:9" ht="15">
      <c r="A8" s="2">
        <v>1</v>
      </c>
      <c r="B8" s="49">
        <v>2</v>
      </c>
      <c r="C8" s="50"/>
      <c r="D8" s="38" t="s">
        <v>18</v>
      </c>
      <c r="E8" s="38">
        <v>3</v>
      </c>
      <c r="F8" s="38">
        <v>4</v>
      </c>
      <c r="G8" s="38">
        <v>5</v>
      </c>
      <c r="H8" s="41">
        <v>5</v>
      </c>
      <c r="I8" s="28">
        <v>6</v>
      </c>
    </row>
    <row r="9" spans="1:12" ht="29.25" customHeight="1">
      <c r="A9" s="3"/>
      <c r="B9" s="59" t="s">
        <v>10</v>
      </c>
      <c r="C9" s="60"/>
      <c r="D9" s="60"/>
      <c r="E9" s="60"/>
      <c r="F9" s="60"/>
      <c r="G9" s="68"/>
      <c r="H9" s="35"/>
      <c r="I9" s="35"/>
      <c r="J9" s="19" t="s">
        <v>14</v>
      </c>
      <c r="K9" s="19" t="s">
        <v>15</v>
      </c>
      <c r="L9" s="19" t="s">
        <v>16</v>
      </c>
    </row>
    <row r="10" spans="1:12" ht="65.25" customHeight="1">
      <c r="A10" s="4">
        <v>1</v>
      </c>
      <c r="B10" s="46" t="s">
        <v>17</v>
      </c>
      <c r="C10" s="47"/>
      <c r="D10" s="5">
        <v>269.87</v>
      </c>
      <c r="E10" s="5">
        <v>314.01</v>
      </c>
      <c r="F10" s="5">
        <v>1</v>
      </c>
      <c r="G10" s="11">
        <v>0.703131</v>
      </c>
      <c r="H10" s="42">
        <f>438.25</f>
        <v>438.25</v>
      </c>
      <c r="I10" s="5">
        <f>82.83+200.65</f>
        <v>283.48</v>
      </c>
      <c r="J10" s="6">
        <v>11</v>
      </c>
      <c r="K10" s="20">
        <v>22.84</v>
      </c>
      <c r="L10" s="6">
        <f aca="true" t="shared" si="0" ref="L10:L41">E10*J10+K10</f>
        <v>3476.95</v>
      </c>
    </row>
    <row r="11" spans="1:12" ht="67.5" customHeight="1">
      <c r="A11" s="4">
        <v>2</v>
      </c>
      <c r="B11" s="46" t="s">
        <v>20</v>
      </c>
      <c r="C11" s="47"/>
      <c r="D11" s="5">
        <v>459.69</v>
      </c>
      <c r="E11" s="5">
        <v>552.5</v>
      </c>
      <c r="F11" s="5">
        <v>1</v>
      </c>
      <c r="G11" s="11">
        <v>0.703131</v>
      </c>
      <c r="H11" s="42">
        <f>729.2</f>
        <v>729.2</v>
      </c>
      <c r="I11" s="5">
        <f>202300.19+490049.76</f>
        <v>692349.95</v>
      </c>
      <c r="J11" s="21">
        <v>26888</v>
      </c>
      <c r="K11" s="21">
        <v>55838.17</v>
      </c>
      <c r="L11" s="21">
        <f t="shared" si="0"/>
        <v>14911458.17</v>
      </c>
    </row>
    <row r="12" spans="1:12" ht="92.25" customHeight="1">
      <c r="A12" s="4">
        <v>3</v>
      </c>
      <c r="B12" s="46" t="s">
        <v>21</v>
      </c>
      <c r="C12" s="47"/>
      <c r="D12" s="5">
        <v>249.86</v>
      </c>
      <c r="E12" s="5">
        <v>314.14</v>
      </c>
      <c r="F12" s="5">
        <v>1</v>
      </c>
      <c r="G12" s="11">
        <v>0.703131</v>
      </c>
      <c r="H12" s="42">
        <f>228.46</f>
        <v>228.46</v>
      </c>
      <c r="I12" s="5">
        <f>150370.79+192425.4</f>
        <v>342796.19</v>
      </c>
      <c r="J12" s="21">
        <v>60500</v>
      </c>
      <c r="K12" s="21">
        <v>125640.04</v>
      </c>
      <c r="L12" s="21">
        <f t="shared" si="0"/>
        <v>19131110.04</v>
      </c>
    </row>
    <row r="13" spans="1:12" ht="63" customHeight="1">
      <c r="A13" s="4">
        <v>4</v>
      </c>
      <c r="B13" s="46" t="s">
        <v>22</v>
      </c>
      <c r="C13" s="47"/>
      <c r="D13" s="5">
        <v>364.27</v>
      </c>
      <c r="E13" s="5">
        <v>435.83</v>
      </c>
      <c r="F13" s="5">
        <v>1</v>
      </c>
      <c r="G13" s="11">
        <v>0.703131</v>
      </c>
      <c r="H13" s="42">
        <f>580.85</f>
        <v>580.85</v>
      </c>
      <c r="I13" s="5">
        <f>20672.58+50077.03</f>
        <v>70749.61</v>
      </c>
      <c r="J13" s="21">
        <v>3030</v>
      </c>
      <c r="K13" s="21">
        <v>6292.39</v>
      </c>
      <c r="L13" s="21">
        <f t="shared" si="0"/>
        <v>1326857.2899999998</v>
      </c>
    </row>
    <row r="14" spans="1:12" ht="61.5" customHeight="1">
      <c r="A14" s="4">
        <v>5</v>
      </c>
      <c r="B14" s="46" t="s">
        <v>23</v>
      </c>
      <c r="C14" s="47"/>
      <c r="D14" s="5">
        <v>252570</v>
      </c>
      <c r="E14" s="5">
        <v>294500.87</v>
      </c>
      <c r="F14" s="5">
        <v>1</v>
      </c>
      <c r="G14" s="11">
        <v>0.703131</v>
      </c>
      <c r="H14" s="42">
        <f>363880</f>
        <v>363880</v>
      </c>
      <c r="I14" s="5">
        <f>7656.07+18545.99</f>
        <v>26202.06</v>
      </c>
      <c r="J14" s="21">
        <v>1</v>
      </c>
      <c r="K14" s="22">
        <v>2076.69</v>
      </c>
      <c r="L14" s="21">
        <f t="shared" si="0"/>
        <v>296577.56</v>
      </c>
    </row>
    <row r="15" spans="1:12" ht="57.75" customHeight="1">
      <c r="A15" s="4">
        <v>6</v>
      </c>
      <c r="B15" s="46" t="s">
        <v>24</v>
      </c>
      <c r="C15" s="47"/>
      <c r="D15" s="5">
        <v>356670</v>
      </c>
      <c r="E15" s="5">
        <v>423952.87</v>
      </c>
      <c r="F15" s="5">
        <v>1</v>
      </c>
      <c r="G15" s="11">
        <v>0.703131</v>
      </c>
      <c r="H15" s="42">
        <f>466090</f>
        <v>466090</v>
      </c>
      <c r="I15" s="5">
        <f>80394.68+194747.2</f>
        <v>275141.88</v>
      </c>
      <c r="J15" s="21">
        <v>7</v>
      </c>
      <c r="K15" s="22">
        <v>14536.86</v>
      </c>
      <c r="L15" s="21">
        <f t="shared" si="0"/>
        <v>2982206.9499999997</v>
      </c>
    </row>
    <row r="16" spans="1:12" ht="68.25" customHeight="1">
      <c r="A16" s="4">
        <v>7</v>
      </c>
      <c r="B16" s="46" t="s">
        <v>25</v>
      </c>
      <c r="C16" s="47"/>
      <c r="D16" s="5">
        <v>319.27</v>
      </c>
      <c r="E16" s="5">
        <v>379.48</v>
      </c>
      <c r="F16" s="5">
        <v>1</v>
      </c>
      <c r="G16" s="11">
        <v>0.703131</v>
      </c>
      <c r="H16" s="42">
        <f>429.24</f>
        <v>429.24</v>
      </c>
      <c r="I16" s="5">
        <f>502.91+1218.24</f>
        <v>1721.15</v>
      </c>
      <c r="J16" s="21">
        <v>72</v>
      </c>
      <c r="K16" s="22">
        <v>149.52</v>
      </c>
      <c r="L16" s="21">
        <f t="shared" si="0"/>
        <v>27472.08</v>
      </c>
    </row>
    <row r="17" spans="1:12" ht="80.25" customHeight="1">
      <c r="A17" s="4">
        <v>8</v>
      </c>
      <c r="B17" s="46" t="s">
        <v>26</v>
      </c>
      <c r="C17" s="47"/>
      <c r="D17" s="5">
        <v>204.66</v>
      </c>
      <c r="E17" s="5">
        <v>236.7</v>
      </c>
      <c r="F17" s="5">
        <v>1</v>
      </c>
      <c r="G17" s="11">
        <v>0.703131</v>
      </c>
      <c r="H17" s="42">
        <f>316.73</f>
        <v>316.73</v>
      </c>
      <c r="I17" s="5">
        <f>3916.79+9487.98</f>
        <v>13404.77</v>
      </c>
      <c r="J17" s="21">
        <v>457</v>
      </c>
      <c r="K17" s="22">
        <v>949.05</v>
      </c>
      <c r="L17" s="21">
        <f t="shared" si="0"/>
        <v>109120.95</v>
      </c>
    </row>
    <row r="18" spans="1:12" ht="81" customHeight="1">
      <c r="A18" s="4">
        <v>9</v>
      </c>
      <c r="B18" s="46" t="s">
        <v>27</v>
      </c>
      <c r="C18" s="47"/>
      <c r="D18" s="5">
        <v>587.05</v>
      </c>
      <c r="E18" s="5">
        <v>712.59</v>
      </c>
      <c r="F18" s="5">
        <v>1</v>
      </c>
      <c r="G18" s="11">
        <v>0.703131</v>
      </c>
      <c r="H18" s="42">
        <f>692.12</f>
        <v>692.12</v>
      </c>
      <c r="I18" s="5">
        <f>3916.79+9487.98</f>
        <v>13404.77</v>
      </c>
      <c r="J18" s="21">
        <v>457</v>
      </c>
      <c r="K18" s="22">
        <v>949.05</v>
      </c>
      <c r="L18" s="21">
        <f t="shared" si="0"/>
        <v>326602.68</v>
      </c>
    </row>
    <row r="19" spans="1:12" ht="51.75" customHeight="1">
      <c r="A19" s="4">
        <v>10</v>
      </c>
      <c r="B19" s="56" t="s">
        <v>28</v>
      </c>
      <c r="C19" s="57"/>
      <c r="D19" s="5">
        <v>158.4</v>
      </c>
      <c r="E19" s="5">
        <v>178.59</v>
      </c>
      <c r="F19" s="5">
        <v>1</v>
      </c>
      <c r="G19" s="11">
        <v>0.703131</v>
      </c>
      <c r="H19" s="42">
        <f>298.35</f>
        <v>298.35</v>
      </c>
      <c r="I19" s="5">
        <f>43794.63+106087.63</f>
        <v>149882.26</v>
      </c>
      <c r="J19" s="21">
        <v>160050</v>
      </c>
      <c r="K19" s="22">
        <v>332375.02</v>
      </c>
      <c r="L19" s="21">
        <f t="shared" si="0"/>
        <v>28915704.52</v>
      </c>
    </row>
    <row r="20" spans="1:12" ht="54" customHeight="1">
      <c r="A20" s="4">
        <v>11</v>
      </c>
      <c r="B20" s="46" t="s">
        <v>29</v>
      </c>
      <c r="C20" s="47"/>
      <c r="D20" s="5">
        <v>203.994918</v>
      </c>
      <c r="E20" s="5">
        <v>453</v>
      </c>
      <c r="F20" s="5">
        <v>1</v>
      </c>
      <c r="G20" s="11">
        <v>0.703131</v>
      </c>
      <c r="H20" s="42">
        <f>316.35</f>
        <v>316.35</v>
      </c>
      <c r="I20" s="5">
        <f>17826.7+43183.2</f>
        <v>61009.899999999994</v>
      </c>
      <c r="J20" s="21">
        <v>877</v>
      </c>
      <c r="K20" s="21">
        <v>1821.26</v>
      </c>
      <c r="L20" s="21">
        <f t="shared" si="0"/>
        <v>399102.26</v>
      </c>
    </row>
    <row r="21" spans="1:12" ht="65.25" customHeight="1">
      <c r="A21" s="4">
        <v>12</v>
      </c>
      <c r="B21" s="46" t="s">
        <v>30</v>
      </c>
      <c r="C21" s="47"/>
      <c r="D21" s="5">
        <v>288.415959</v>
      </c>
      <c r="E21" s="5">
        <v>694.8</v>
      </c>
      <c r="F21" s="5">
        <v>1</v>
      </c>
      <c r="G21" s="11">
        <v>0.703131</v>
      </c>
      <c r="H21" s="42">
        <f>396.99</f>
        <v>396.99</v>
      </c>
      <c r="I21" s="5">
        <f>24837.86+60166.97</f>
        <v>85004.83</v>
      </c>
      <c r="J21" s="21">
        <v>3506</v>
      </c>
      <c r="K21" s="21">
        <v>7280.89</v>
      </c>
      <c r="L21" s="21">
        <f t="shared" si="0"/>
        <v>2443249.69</v>
      </c>
    </row>
    <row r="22" spans="1:12" ht="58.5" customHeight="1">
      <c r="A22" s="4">
        <v>13</v>
      </c>
      <c r="B22" s="46" t="s">
        <v>31</v>
      </c>
      <c r="C22" s="47"/>
      <c r="D22" s="5">
        <v>149.02</v>
      </c>
      <c r="E22" s="5">
        <v>213.86</v>
      </c>
      <c r="F22" s="5">
        <v>1</v>
      </c>
      <c r="G22" s="11">
        <v>0.703131</v>
      </c>
      <c r="H22" s="42">
        <f>130.91</f>
        <v>130.91</v>
      </c>
      <c r="I22" s="5">
        <f>19.57+25.05</f>
        <v>44.620000000000005</v>
      </c>
      <c r="J22" s="21">
        <v>14</v>
      </c>
      <c r="K22" s="21">
        <v>29.07</v>
      </c>
      <c r="L22" s="21">
        <f t="shared" si="0"/>
        <v>3023.11</v>
      </c>
    </row>
    <row r="23" spans="1:12" ht="74.25" customHeight="1">
      <c r="A23" s="4">
        <v>14</v>
      </c>
      <c r="B23" s="46" t="s">
        <v>32</v>
      </c>
      <c r="C23" s="47"/>
      <c r="D23" s="5">
        <v>2498.76</v>
      </c>
      <c r="E23" s="5">
        <v>2481.98</v>
      </c>
      <c r="F23" s="5">
        <v>1</v>
      </c>
      <c r="G23" s="11">
        <v>0.703131</v>
      </c>
      <c r="H23" s="42">
        <f>2329.82</f>
        <v>2329.82</v>
      </c>
      <c r="I23" s="5">
        <f>569.78+729.14</f>
        <v>1298.92</v>
      </c>
      <c r="J23" s="21">
        <v>350</v>
      </c>
      <c r="K23" s="21">
        <v>726.84</v>
      </c>
      <c r="L23" s="21">
        <f t="shared" si="0"/>
        <v>869419.84</v>
      </c>
    </row>
    <row r="24" spans="1:12" ht="54" customHeight="1">
      <c r="A24" s="4">
        <v>15</v>
      </c>
      <c r="B24" s="46" t="s">
        <v>33</v>
      </c>
      <c r="C24" s="47"/>
      <c r="D24" s="5">
        <v>379.29</v>
      </c>
      <c r="E24" s="5">
        <v>244.43</v>
      </c>
      <c r="F24" s="5">
        <v>1</v>
      </c>
      <c r="G24" s="11">
        <v>0.703131</v>
      </c>
      <c r="H24" s="42">
        <f>488.11</f>
        <v>488.11</v>
      </c>
      <c r="I24" s="5">
        <f>7011.16+16983.77</f>
        <v>23994.93</v>
      </c>
      <c r="J24" s="21">
        <v>2629</v>
      </c>
      <c r="K24" s="21">
        <v>5459.63</v>
      </c>
      <c r="L24" s="21">
        <f t="shared" si="0"/>
        <v>648066.1</v>
      </c>
    </row>
    <row r="25" spans="1:12" ht="54" customHeight="1">
      <c r="A25" s="4">
        <v>16</v>
      </c>
      <c r="B25" s="56" t="s">
        <v>34</v>
      </c>
      <c r="C25" s="57"/>
      <c r="D25" s="5">
        <v>203.790588</v>
      </c>
      <c r="E25" s="5">
        <v>236.7</v>
      </c>
      <c r="F25" s="5">
        <v>1</v>
      </c>
      <c r="G25" s="11">
        <v>0.703131</v>
      </c>
      <c r="H25" s="42">
        <f>317.11</f>
        <v>317.11</v>
      </c>
      <c r="I25" s="5">
        <f>402.33+974.6</f>
        <v>1376.93</v>
      </c>
      <c r="J25" s="21">
        <v>66</v>
      </c>
      <c r="K25" s="21">
        <v>137.06</v>
      </c>
      <c r="L25" s="21">
        <f t="shared" si="0"/>
        <v>15759.259999999998</v>
      </c>
    </row>
    <row r="26" spans="1:12" ht="54" customHeight="1">
      <c r="A26" s="4">
        <v>17</v>
      </c>
      <c r="B26" s="56" t="s">
        <v>35</v>
      </c>
      <c r="C26" s="57"/>
      <c r="D26" s="5">
        <v>546.80058</v>
      </c>
      <c r="E26" s="5">
        <v>664.04</v>
      </c>
      <c r="F26" s="5">
        <v>1</v>
      </c>
      <c r="G26" s="11">
        <v>0.703131</v>
      </c>
      <c r="H26" s="42">
        <f>653.87</f>
        <v>653.87</v>
      </c>
      <c r="I26" s="5">
        <f>402.33+974.6</f>
        <v>1376.93</v>
      </c>
      <c r="J26" s="21">
        <v>66</v>
      </c>
      <c r="K26" s="21">
        <v>137.06</v>
      </c>
      <c r="L26" s="21">
        <f t="shared" si="0"/>
        <v>43963.7</v>
      </c>
    </row>
    <row r="27" spans="1:12" ht="81" customHeight="1">
      <c r="A27" s="4">
        <v>18</v>
      </c>
      <c r="B27" s="56" t="s">
        <v>36</v>
      </c>
      <c r="C27" s="57"/>
      <c r="D27" s="5">
        <v>606.28398</v>
      </c>
      <c r="E27" s="5">
        <v>742.19</v>
      </c>
      <c r="F27" s="5">
        <v>1</v>
      </c>
      <c r="G27" s="11">
        <v>0.703131</v>
      </c>
      <c r="H27" s="42">
        <f>846.17</f>
        <v>846.17</v>
      </c>
      <c r="I27" s="5">
        <f>1550.15+3755.06</f>
        <v>5305.21</v>
      </c>
      <c r="J27" s="21">
        <v>550</v>
      </c>
      <c r="K27" s="21">
        <v>1142.18</v>
      </c>
      <c r="L27" s="21">
        <f t="shared" si="0"/>
        <v>409346.68000000005</v>
      </c>
    </row>
    <row r="28" spans="1:12" ht="87.75" customHeight="1">
      <c r="A28" s="4">
        <v>19</v>
      </c>
      <c r="B28" s="46" t="s">
        <v>37</v>
      </c>
      <c r="C28" s="47"/>
      <c r="D28" s="5">
        <v>150.5</v>
      </c>
      <c r="E28" s="5">
        <v>216.86</v>
      </c>
      <c r="F28" s="5">
        <v>1</v>
      </c>
      <c r="G28" s="11">
        <v>0.703131</v>
      </c>
      <c r="H28" s="42">
        <f>132.39</f>
        <v>132.39</v>
      </c>
      <c r="I28" s="5">
        <f>232.7+297.78</f>
        <v>530.48</v>
      </c>
      <c r="J28" s="21">
        <v>200</v>
      </c>
      <c r="K28" s="21">
        <v>415.34</v>
      </c>
      <c r="L28" s="21">
        <f t="shared" si="0"/>
        <v>43787.34</v>
      </c>
    </row>
    <row r="29" spans="1:13" ht="84" customHeight="1">
      <c r="A29" s="4">
        <v>20</v>
      </c>
      <c r="B29" s="46" t="s">
        <v>38</v>
      </c>
      <c r="C29" s="47"/>
      <c r="D29" s="5">
        <v>2468.18</v>
      </c>
      <c r="E29" s="5">
        <v>2230.77</v>
      </c>
      <c r="F29" s="5">
        <v>1</v>
      </c>
      <c r="G29" s="11">
        <v>0.703131</v>
      </c>
      <c r="H29" s="42">
        <f>1870.5</f>
        <v>1870.5</v>
      </c>
      <c r="I29" s="5">
        <f>615.45+787.58</f>
        <v>1403.0300000000002</v>
      </c>
      <c r="J29" s="21">
        <v>600</v>
      </c>
      <c r="K29" s="21">
        <v>1246.02</v>
      </c>
      <c r="L29" s="21">
        <f t="shared" si="0"/>
        <v>1339708.02</v>
      </c>
      <c r="M29" s="10">
        <f>SUM(L10:L29)</f>
        <v>74246013.19000001</v>
      </c>
    </row>
    <row r="30" spans="1:12" ht="90.75" customHeight="1">
      <c r="A30" s="4">
        <v>21</v>
      </c>
      <c r="B30" s="66" t="s">
        <v>39</v>
      </c>
      <c r="C30" s="67"/>
      <c r="D30" s="12">
        <v>29949.78</v>
      </c>
      <c r="E30" s="12">
        <v>22740.39</v>
      </c>
      <c r="F30" s="5">
        <v>1</v>
      </c>
      <c r="G30" s="5">
        <v>1</v>
      </c>
      <c r="H30" s="7"/>
      <c r="I30" s="36"/>
      <c r="J30" s="21">
        <v>25</v>
      </c>
      <c r="K30" s="21">
        <v>0</v>
      </c>
      <c r="L30" s="21">
        <f t="shared" si="0"/>
        <v>568509.75</v>
      </c>
    </row>
    <row r="31" spans="1:12" ht="63" customHeight="1">
      <c r="A31" s="4">
        <v>22</v>
      </c>
      <c r="B31" s="66" t="s">
        <v>40</v>
      </c>
      <c r="C31" s="67"/>
      <c r="D31" s="13">
        <v>29949.78</v>
      </c>
      <c r="E31" s="13">
        <v>22740.39</v>
      </c>
      <c r="F31" s="5">
        <v>1</v>
      </c>
      <c r="G31" s="5">
        <v>1</v>
      </c>
      <c r="J31" s="21">
        <v>1</v>
      </c>
      <c r="K31" s="21">
        <v>0</v>
      </c>
      <c r="L31" s="21">
        <f t="shared" si="0"/>
        <v>22740.39</v>
      </c>
    </row>
    <row r="32" spans="1:12" ht="80.25" customHeight="1">
      <c r="A32" s="4">
        <v>23</v>
      </c>
      <c r="B32" s="66" t="s">
        <v>41</v>
      </c>
      <c r="C32" s="67"/>
      <c r="D32" s="13">
        <v>1500.74</v>
      </c>
      <c r="E32" s="13">
        <v>2264.32</v>
      </c>
      <c r="F32" s="5">
        <v>1</v>
      </c>
      <c r="G32" s="5">
        <v>1</v>
      </c>
      <c r="J32" s="21">
        <v>800</v>
      </c>
      <c r="K32" s="21">
        <v>0</v>
      </c>
      <c r="L32" s="21">
        <f t="shared" si="0"/>
        <v>1811456.0000000002</v>
      </c>
    </row>
    <row r="33" spans="1:12" ht="62.25" customHeight="1">
      <c r="A33" s="4">
        <v>24</v>
      </c>
      <c r="B33" s="66" t="s">
        <v>42</v>
      </c>
      <c r="C33" s="67"/>
      <c r="D33" s="13">
        <v>1098.47</v>
      </c>
      <c r="E33" s="13">
        <v>1919.56</v>
      </c>
      <c r="F33" s="5">
        <v>1</v>
      </c>
      <c r="G33" s="5">
        <v>1</v>
      </c>
      <c r="J33" s="21">
        <v>80</v>
      </c>
      <c r="K33" s="21">
        <v>0</v>
      </c>
      <c r="L33" s="21">
        <f t="shared" si="0"/>
        <v>153564.8</v>
      </c>
    </row>
    <row r="34" spans="1:12" ht="78" customHeight="1">
      <c r="A34" s="4">
        <v>25</v>
      </c>
      <c r="B34" s="66" t="s">
        <v>43</v>
      </c>
      <c r="C34" s="67"/>
      <c r="D34" s="13">
        <v>1301.4</v>
      </c>
      <c r="E34" s="13">
        <v>1919.56</v>
      </c>
      <c r="F34" s="5">
        <v>1</v>
      </c>
      <c r="G34" s="5">
        <v>1</v>
      </c>
      <c r="J34" s="21">
        <v>30</v>
      </c>
      <c r="K34" s="21">
        <v>0</v>
      </c>
      <c r="L34" s="21">
        <f t="shared" si="0"/>
        <v>57586.799999999996</v>
      </c>
    </row>
    <row r="35" spans="1:12" ht="78.75" customHeight="1">
      <c r="A35" s="4">
        <v>26</v>
      </c>
      <c r="B35" s="66" t="s">
        <v>44</v>
      </c>
      <c r="C35" s="67"/>
      <c r="D35" s="13">
        <v>1144.685</v>
      </c>
      <c r="E35" s="13">
        <v>2376.88</v>
      </c>
      <c r="F35" s="5">
        <v>1</v>
      </c>
      <c r="G35" s="5">
        <v>1</v>
      </c>
      <c r="J35" s="21">
        <v>150</v>
      </c>
      <c r="K35" s="21">
        <v>0</v>
      </c>
      <c r="L35" s="21">
        <f t="shared" si="0"/>
        <v>356532</v>
      </c>
    </row>
    <row r="36" spans="1:12" ht="52.5" customHeight="1">
      <c r="A36" s="4">
        <v>27</v>
      </c>
      <c r="B36" s="66" t="s">
        <v>45</v>
      </c>
      <c r="C36" s="67"/>
      <c r="D36" s="13">
        <v>1233.76</v>
      </c>
      <c r="E36" s="13">
        <v>2032.89</v>
      </c>
      <c r="F36" s="5">
        <v>1</v>
      </c>
      <c r="G36" s="5">
        <v>1</v>
      </c>
      <c r="J36" s="21">
        <v>20</v>
      </c>
      <c r="K36" s="21">
        <v>0</v>
      </c>
      <c r="L36" s="21">
        <f t="shared" si="0"/>
        <v>40657.8</v>
      </c>
    </row>
    <row r="37" spans="1:13" ht="92.25" customHeight="1">
      <c r="A37" s="4">
        <v>28</v>
      </c>
      <c r="B37" s="66" t="s">
        <v>46</v>
      </c>
      <c r="C37" s="67"/>
      <c r="D37" s="13">
        <v>1472.34</v>
      </c>
      <c r="E37" s="13">
        <v>1925.56</v>
      </c>
      <c r="F37" s="5">
        <v>1</v>
      </c>
      <c r="G37" s="5">
        <v>1</v>
      </c>
      <c r="J37" s="21">
        <v>10</v>
      </c>
      <c r="K37" s="21">
        <v>0</v>
      </c>
      <c r="L37" s="21">
        <f t="shared" si="0"/>
        <v>19255.6</v>
      </c>
      <c r="M37" s="10">
        <f>SUM(L30:L37)</f>
        <v>3030303.1399999997</v>
      </c>
    </row>
    <row r="38" spans="1:13" ht="49.5" customHeight="1">
      <c r="A38" s="4">
        <v>29</v>
      </c>
      <c r="B38" s="43" t="s">
        <v>47</v>
      </c>
      <c r="C38" s="43"/>
      <c r="D38" s="13">
        <v>0</v>
      </c>
      <c r="E38" s="13">
        <v>219.6</v>
      </c>
      <c r="F38" s="5">
        <v>1</v>
      </c>
      <c r="G38" s="5">
        <v>1</v>
      </c>
      <c r="J38" s="21">
        <v>7008</v>
      </c>
      <c r="K38" s="21">
        <v>0</v>
      </c>
      <c r="L38" s="21">
        <f t="shared" si="0"/>
        <v>1538956.8</v>
      </c>
      <c r="M38" s="10"/>
    </row>
    <row r="39" spans="1:13" ht="47.25" customHeight="1">
      <c r="A39" s="4">
        <v>30</v>
      </c>
      <c r="B39" s="44" t="s">
        <v>48</v>
      </c>
      <c r="C39" s="44"/>
      <c r="D39" s="13">
        <v>0</v>
      </c>
      <c r="E39" s="13">
        <v>2629.29</v>
      </c>
      <c r="F39" s="5">
        <v>1</v>
      </c>
      <c r="G39" s="5">
        <v>1</v>
      </c>
      <c r="J39" s="21">
        <v>494</v>
      </c>
      <c r="K39" s="21">
        <v>0</v>
      </c>
      <c r="L39" s="21">
        <f t="shared" si="0"/>
        <v>1298869.26</v>
      </c>
      <c r="M39" s="10"/>
    </row>
    <row r="40" spans="1:13" ht="66.75" customHeight="1">
      <c r="A40" s="4">
        <v>31</v>
      </c>
      <c r="B40" s="44" t="s">
        <v>49</v>
      </c>
      <c r="C40" s="44"/>
      <c r="D40" s="13">
        <v>0</v>
      </c>
      <c r="E40" s="13">
        <v>9263.86</v>
      </c>
      <c r="F40" s="5">
        <v>1</v>
      </c>
      <c r="G40" s="5">
        <v>1</v>
      </c>
      <c r="J40" s="21">
        <v>125</v>
      </c>
      <c r="K40" s="21">
        <v>0</v>
      </c>
      <c r="L40" s="21">
        <f t="shared" si="0"/>
        <v>1157982.5</v>
      </c>
      <c r="M40" s="10"/>
    </row>
    <row r="41" spans="1:13" ht="48" customHeight="1">
      <c r="A41" s="4">
        <v>32</v>
      </c>
      <c r="B41" s="44" t="s">
        <v>50</v>
      </c>
      <c r="C41" s="44"/>
      <c r="D41" s="13">
        <v>0</v>
      </c>
      <c r="E41" s="13">
        <v>172798.92</v>
      </c>
      <c r="F41" s="5">
        <v>1</v>
      </c>
      <c r="G41" s="5">
        <v>1</v>
      </c>
      <c r="J41" s="21">
        <v>26</v>
      </c>
      <c r="K41" s="21">
        <v>0</v>
      </c>
      <c r="L41" s="21">
        <f t="shared" si="0"/>
        <v>4492771.92</v>
      </c>
      <c r="M41" s="21">
        <f>SUM(L38:L41)</f>
        <v>8488580.48</v>
      </c>
    </row>
    <row r="42" spans="1:12" ht="12.75">
      <c r="A42" s="16"/>
      <c r="B42" s="65"/>
      <c r="C42" s="65"/>
      <c r="D42" s="16"/>
      <c r="E42" s="16"/>
      <c r="F42" s="16"/>
      <c r="G42" s="17"/>
      <c r="J42" s="10"/>
      <c r="K42" s="10"/>
      <c r="L42" s="23"/>
    </row>
    <row r="43" spans="10:13" ht="12.75">
      <c r="J43" s="10"/>
      <c r="K43" s="10"/>
      <c r="L43" s="23" t="s">
        <v>51</v>
      </c>
      <c r="M43" s="10">
        <f>M29+M37+M41</f>
        <v>85764896.81000002</v>
      </c>
    </row>
  </sheetData>
  <sheetProtection/>
  <mergeCells count="46">
    <mergeCell ref="F1:G1"/>
    <mergeCell ref="B4:I4"/>
    <mergeCell ref="A6:A7"/>
    <mergeCell ref="B6:C7"/>
    <mergeCell ref="D6:D7"/>
    <mergeCell ref="E6:E7"/>
    <mergeCell ref="F6:F7"/>
    <mergeCell ref="G6:G7"/>
    <mergeCell ref="H6:H7"/>
    <mergeCell ref="I6:I7"/>
    <mergeCell ref="B8:C8"/>
    <mergeCell ref="B10:C10"/>
    <mergeCell ref="B11:C11"/>
    <mergeCell ref="B12:C12"/>
    <mergeCell ref="B9:G9"/>
    <mergeCell ref="B13:C13"/>
    <mergeCell ref="B14:C14"/>
    <mergeCell ref="B15:C15"/>
    <mergeCell ref="B16:C16"/>
    <mergeCell ref="B17:C17"/>
    <mergeCell ref="B18:C18"/>
    <mergeCell ref="B29:C29"/>
    <mergeCell ref="B30:C30"/>
    <mergeCell ref="B19:C19"/>
    <mergeCell ref="B20:C20"/>
    <mergeCell ref="B21:C21"/>
    <mergeCell ref="B22:C22"/>
    <mergeCell ref="B23:C23"/>
    <mergeCell ref="B24:C24"/>
    <mergeCell ref="B42:C42"/>
    <mergeCell ref="B31:C31"/>
    <mergeCell ref="B32:C32"/>
    <mergeCell ref="B33:C33"/>
    <mergeCell ref="B34:C34"/>
    <mergeCell ref="B35:C35"/>
    <mergeCell ref="B36:C36"/>
    <mergeCell ref="A3:G3"/>
    <mergeCell ref="B37:C37"/>
    <mergeCell ref="B38:C38"/>
    <mergeCell ref="B39:C39"/>
    <mergeCell ref="B40:C40"/>
    <mergeCell ref="B41:C41"/>
    <mergeCell ref="B25:C25"/>
    <mergeCell ref="B26:C26"/>
    <mergeCell ref="B27:C27"/>
    <mergeCell ref="B28:C28"/>
  </mergeCells>
  <printOptions/>
  <pageMargins left="0.5905511811023623" right="0.2362204724409449" top="0.7480314960629921" bottom="0.15748031496062992" header="0" footer="0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Борисовна Сергеенкова</dc:creator>
  <cp:keywords/>
  <dc:description/>
  <cp:lastModifiedBy>Плужник А.В.</cp:lastModifiedBy>
  <cp:lastPrinted>2020-05-28T12:42:26Z</cp:lastPrinted>
  <dcterms:created xsi:type="dcterms:W3CDTF">2019-03-02T19:04:56Z</dcterms:created>
  <dcterms:modified xsi:type="dcterms:W3CDTF">2020-05-28T12:44:49Z</dcterms:modified>
  <cp:category/>
  <cp:version/>
  <cp:contentType/>
  <cp:contentStatus/>
</cp:coreProperties>
</file>