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9320" windowHeight="11640" tabRatio="860" activeTab="1"/>
  </bookViews>
  <sheets>
    <sheet name="Лаборатория - ПТЗ, Шуйское, 26" sheetId="8" r:id="rId1"/>
    <sheet name="Вет.станции" sheetId="7" r:id="rId2"/>
    <sheet name="Лист1" sheetId="10" state="hidden" r:id="rId3"/>
    <sheet name="Лаб.иследования-explana" sheetId="27" r:id="rId4"/>
    <sheet name="Лаб.иследования-Vet Union" sheetId="28" r:id="rId5"/>
    <sheet name="беспл. исследования" sheetId="2" r:id="rId6"/>
    <sheet name="ЦК" sheetId="29" r:id="rId7"/>
  </sheets>
  <definedNames>
    <definedName name="_xlnm._FilterDatabase" localSheetId="1" hidden="1">Вет.станции!$A$8:$I$996</definedName>
    <definedName name="_xlnm._FilterDatabase" localSheetId="3" hidden="1">'Лаб.иследования-explana'!$A$8:$I$219</definedName>
    <definedName name="_xlnm._FilterDatabase" localSheetId="4" hidden="1">'Лаб.иследования-Vet Union'!$A$8:$L$266</definedName>
    <definedName name="_xlnm._FilterDatabase" localSheetId="0" hidden="1">'Лаборатория - ПТЗ, Шуйское, 26'!$A$8:$I$324</definedName>
    <definedName name="_xlnm.Print_Titles" localSheetId="1">Вет.станции!$8:$8</definedName>
    <definedName name="_xlnm.Print_Titles" localSheetId="3">'Лаб.иследования-explana'!$8:$8</definedName>
    <definedName name="_xlnm.Print_Titles" localSheetId="4">'Лаб.иследования-Vet Union'!$8:$8</definedName>
    <definedName name="_xlnm.Print_Titles" localSheetId="0">'Лаборатория - ПТЗ, Шуйское, 26'!$8:$8</definedName>
    <definedName name="_xlnm.Print_Area" localSheetId="5">'беспл. исследования'!$A$1:$B$28</definedName>
    <definedName name="_xlnm.Print_Area" localSheetId="1">Вет.станции!$A$1:$G$1010</definedName>
    <definedName name="_xlnm.Print_Area" localSheetId="3">'Лаб.иследования-explana'!$A$1:$G$229</definedName>
    <definedName name="_xlnm.Print_Area" localSheetId="4">'Лаб.иследования-Vet Union'!$A$1:$F$483</definedName>
    <definedName name="_xlnm.Print_Area" localSheetId="0">'Лаборатория - ПТЗ, Шуйское, 26'!$A$299:$G$335</definedName>
    <definedName name="_xlnm.Print_Area" localSheetId="2">Лист1!$A$1:$F$859</definedName>
  </definedNames>
  <calcPr calcId="145621"/>
</workbook>
</file>

<file path=xl/calcChain.xml><?xml version="1.0" encoding="utf-8"?>
<calcChain xmlns="http://schemas.openxmlformats.org/spreadsheetml/2006/main">
  <c r="E615" i="7" l="1"/>
  <c r="D615" i="7" s="1"/>
  <c r="E285" i="7"/>
  <c r="D285" i="7" s="1"/>
  <c r="E125" i="7"/>
  <c r="D125" i="7" s="1"/>
  <c r="E110" i="7"/>
  <c r="E111" i="7"/>
  <c r="D111" i="7" s="1"/>
  <c r="D110" i="7"/>
  <c r="E94" i="8"/>
  <c r="D94" i="8" s="1"/>
  <c r="E581" i="7" l="1"/>
  <c r="D581" i="7" s="1"/>
  <c r="E580" i="7"/>
  <c r="D580" i="7" s="1"/>
  <c r="A7" i="7"/>
  <c r="E222" i="7"/>
  <c r="D222" i="7" l="1"/>
  <c r="E124" i="7"/>
  <c r="D124" i="7" s="1"/>
  <c r="E575" i="7" l="1"/>
  <c r="E576" i="7"/>
  <c r="E577" i="7"/>
  <c r="E578" i="7"/>
  <c r="D575" i="7"/>
  <c r="D576" i="7"/>
  <c r="D577" i="7"/>
  <c r="D578" i="7"/>
  <c r="E574" i="7"/>
  <c r="D574" i="7" s="1"/>
  <c r="E218" i="8" l="1"/>
  <c r="D218" i="8" s="1"/>
  <c r="E162" i="8" l="1"/>
  <c r="D162" i="8" l="1"/>
  <c r="E217" i="8"/>
  <c r="D217" i="8" s="1"/>
  <c r="E572" i="7" l="1"/>
  <c r="D572" i="7" s="1"/>
  <c r="E571" i="7" l="1"/>
  <c r="D571" i="7" s="1"/>
  <c r="R64" i="28" l="1"/>
  <c r="F64" i="28" s="1"/>
  <c r="F359" i="28"/>
  <c r="F360" i="28"/>
  <c r="F361" i="28"/>
  <c r="F362" i="28"/>
  <c r="F472" i="28"/>
  <c r="F473" i="28"/>
  <c r="F474" i="28"/>
  <c r="F471" i="28"/>
  <c r="F466" i="28"/>
  <c r="F467" i="28"/>
  <c r="F468" i="28"/>
  <c r="F469" i="28"/>
  <c r="F465" i="28"/>
  <c r="F463" i="28"/>
  <c r="F462" i="28"/>
  <c r="F457" i="28"/>
  <c r="F458" i="28"/>
  <c r="F459" i="28"/>
  <c r="F460" i="28"/>
  <c r="F447" i="28"/>
  <c r="F448" i="28"/>
  <c r="F449" i="28"/>
  <c r="F450" i="28"/>
  <c r="F451" i="28"/>
  <c r="F452" i="28"/>
  <c r="F453" i="28"/>
  <c r="F454" i="28"/>
  <c r="F455" i="28"/>
  <c r="F456" i="28"/>
  <c r="F439" i="28"/>
  <c r="F431" i="28"/>
  <c r="F432" i="28"/>
  <c r="F433" i="28"/>
  <c r="F434" i="28"/>
  <c r="F435" i="28"/>
  <c r="F436" i="28"/>
  <c r="F437" i="28"/>
  <c r="F438" i="28"/>
  <c r="F440" i="28"/>
  <c r="F441" i="28"/>
  <c r="F442" i="28"/>
  <c r="F443" i="28"/>
  <c r="F444" i="28"/>
  <c r="F445" i="28"/>
  <c r="F446" i="28"/>
  <c r="F430" i="28"/>
  <c r="F421" i="28"/>
  <c r="F422" i="28"/>
  <c r="F423" i="28"/>
  <c r="F424" i="28"/>
  <c r="F425" i="28"/>
  <c r="F426" i="28"/>
  <c r="F427" i="28"/>
  <c r="F428" i="28"/>
  <c r="F420" i="28"/>
  <c r="F412" i="28"/>
  <c r="F413" i="28"/>
  <c r="F414" i="28"/>
  <c r="F415" i="28"/>
  <c r="F416" i="28"/>
  <c r="F417" i="28"/>
  <c r="F418" i="28"/>
  <c r="F406" i="28"/>
  <c r="F407" i="28"/>
  <c r="F408" i="28"/>
  <c r="F409" i="28"/>
  <c r="F410" i="28"/>
  <c r="F411" i="28"/>
  <c r="F405" i="28"/>
  <c r="F392" i="28"/>
  <c r="F393" i="28"/>
  <c r="F394" i="28"/>
  <c r="F395" i="28"/>
  <c r="F396" i="28"/>
  <c r="F397" i="28"/>
  <c r="F398" i="28"/>
  <c r="F399" i="28"/>
  <c r="F400" i="28"/>
  <c r="F401" i="28"/>
  <c r="F402" i="28"/>
  <c r="F403" i="28"/>
  <c r="F386" i="28"/>
  <c r="F387" i="28"/>
  <c r="F388" i="28"/>
  <c r="F389" i="28"/>
  <c r="F390" i="28"/>
  <c r="F391" i="28"/>
  <c r="F373" i="28"/>
  <c r="F374" i="28"/>
  <c r="F375" i="28"/>
  <c r="F376" i="28"/>
  <c r="F377" i="28"/>
  <c r="F378" i="28"/>
  <c r="F379" i="28"/>
  <c r="F380" i="28"/>
  <c r="F381" i="28"/>
  <c r="F382" i="28"/>
  <c r="F383" i="28"/>
  <c r="F384" i="28"/>
  <c r="F385" i="28"/>
  <c r="F363" i="28"/>
  <c r="F364" i="28"/>
  <c r="F365" i="28"/>
  <c r="F366" i="28"/>
  <c r="F367" i="28"/>
  <c r="F368" i="28"/>
  <c r="F369" i="28"/>
  <c r="F370" i="28"/>
  <c r="F371" i="28"/>
  <c r="F372" i="28"/>
  <c r="F358" i="28"/>
  <c r="F346" i="28"/>
  <c r="F347" i="28"/>
  <c r="F348" i="28"/>
  <c r="F349" i="28"/>
  <c r="F350" i="28"/>
  <c r="F351" i="28"/>
  <c r="F352" i="28"/>
  <c r="F353" i="28"/>
  <c r="F354" i="28"/>
  <c r="F355" i="28"/>
  <c r="F356" i="28"/>
  <c r="F357" i="28"/>
  <c r="F345" i="28"/>
  <c r="F340" i="28"/>
  <c r="F341" i="28"/>
  <c r="F342" i="28"/>
  <c r="F343" i="28"/>
  <c r="F334" i="28"/>
  <c r="F335" i="28"/>
  <c r="F336" i="28"/>
  <c r="F337" i="28"/>
  <c r="F338" i="28"/>
  <c r="F339" i="28"/>
  <c r="F333" i="28"/>
  <c r="F324" i="28"/>
  <c r="F325" i="28"/>
  <c r="F326" i="28"/>
  <c r="F327" i="28"/>
  <c r="F328" i="28"/>
  <c r="F329" i="28"/>
  <c r="F330" i="28"/>
  <c r="F331" i="28"/>
  <c r="F312" i="28"/>
  <c r="F313" i="28"/>
  <c r="F314" i="28"/>
  <c r="F315" i="28"/>
  <c r="F316" i="28"/>
  <c r="F317" i="28"/>
  <c r="F318" i="28"/>
  <c r="F319" i="28"/>
  <c r="F320" i="28"/>
  <c r="F321" i="28"/>
  <c r="F322" i="28"/>
  <c r="F323" i="28"/>
  <c r="F296" i="28"/>
  <c r="F297" i="28"/>
  <c r="F298" i="28"/>
  <c r="F299" i="28"/>
  <c r="F300" i="28"/>
  <c r="F301" i="28"/>
  <c r="F302" i="28"/>
  <c r="F303" i="28"/>
  <c r="F304" i="28"/>
  <c r="F305" i="28"/>
  <c r="F306" i="28"/>
  <c r="F307" i="28"/>
  <c r="F308" i="28"/>
  <c r="F309" i="28"/>
  <c r="F310" i="28"/>
  <c r="F311" i="28"/>
  <c r="F282" i="28"/>
  <c r="F283" i="28"/>
  <c r="F284" i="28"/>
  <c r="F285" i="28"/>
  <c r="F286" i="28"/>
  <c r="F287" i="28"/>
  <c r="F288" i="28"/>
  <c r="F289" i="28"/>
  <c r="F290" i="28"/>
  <c r="F291" i="28"/>
  <c r="F292" i="28"/>
  <c r="F293" i="28"/>
  <c r="F294" i="28"/>
  <c r="F295" i="28"/>
  <c r="F269" i="28"/>
  <c r="F270" i="28"/>
  <c r="F271" i="28"/>
  <c r="F272" i="28"/>
  <c r="F273" i="28"/>
  <c r="F274" i="28"/>
  <c r="F275" i="28"/>
  <c r="F276" i="28"/>
  <c r="F277" i="28"/>
  <c r="F278" i="28"/>
  <c r="F279" i="28"/>
  <c r="F280" i="28"/>
  <c r="F281" i="28"/>
  <c r="F268" i="28"/>
  <c r="F266" i="28"/>
  <c r="F20" i="28"/>
  <c r="F21" i="28"/>
  <c r="F22" i="28"/>
  <c r="F23" i="28"/>
  <c r="F24" i="28"/>
  <c r="F12" i="28"/>
  <c r="F13" i="28"/>
  <c r="F14" i="28"/>
  <c r="F15" i="28"/>
  <c r="F16" i="28"/>
  <c r="F17" i="28"/>
  <c r="F259" i="28"/>
  <c r="F258" i="28"/>
  <c r="F246" i="28"/>
  <c r="F247" i="28"/>
  <c r="F245" i="28"/>
  <c r="F243" i="28"/>
  <c r="F242" i="28"/>
  <c r="F69" i="28"/>
  <c r="F70" i="28"/>
  <c r="F71" i="28"/>
  <c r="F72" i="28"/>
  <c r="F73" i="28"/>
  <c r="F74" i="28"/>
  <c r="F75" i="28"/>
  <c r="F68" i="28"/>
  <c r="F62" i="28"/>
  <c r="F63" i="28"/>
  <c r="F61" i="28"/>
  <c r="R475" i="28"/>
  <c r="O475" i="28"/>
  <c r="F66" i="28" l="1"/>
  <c r="F52" i="28"/>
  <c r="F53" i="28"/>
  <c r="F54" i="28"/>
  <c r="F55" i="28"/>
  <c r="F56" i="28"/>
  <c r="F57" i="28"/>
  <c r="F58" i="28"/>
  <c r="F59" i="28"/>
  <c r="F51" i="28"/>
  <c r="F49" i="28"/>
  <c r="F45" i="28"/>
  <c r="F46" i="28"/>
  <c r="F47" i="28"/>
  <c r="F44" i="28"/>
  <c r="F27" i="28"/>
  <c r="F28" i="28"/>
  <c r="F29" i="28"/>
  <c r="F30" i="28"/>
  <c r="F31" i="28"/>
  <c r="F32" i="28"/>
  <c r="F33" i="28"/>
  <c r="F34" i="28"/>
  <c r="F35" i="28"/>
  <c r="F36" i="28"/>
  <c r="F37" i="28"/>
  <c r="F38" i="28"/>
  <c r="F39" i="28"/>
  <c r="F40" i="28"/>
  <c r="F41" i="28"/>
  <c r="F42" i="28"/>
  <c r="F26" i="28"/>
  <c r="F19" i="28"/>
  <c r="F11" i="28"/>
  <c r="E241" i="8" l="1"/>
  <c r="D241" i="8" s="1"/>
  <c r="E242" i="8"/>
  <c r="D242" i="8" s="1"/>
  <c r="E243" i="8"/>
  <c r="D243" i="8" s="1"/>
  <c r="S333" i="28" l="1"/>
  <c r="S334" i="28"/>
  <c r="S335" i="28"/>
  <c r="S336" i="28"/>
  <c r="S337" i="28"/>
  <c r="S338" i="28"/>
  <c r="S339" i="28"/>
  <c r="S340" i="28"/>
  <c r="S341" i="28"/>
  <c r="S342" i="28"/>
  <c r="S343" i="28"/>
  <c r="S345" i="28"/>
  <c r="S346" i="28"/>
  <c r="S347" i="28"/>
  <c r="S348" i="28"/>
  <c r="S349" i="28"/>
  <c r="S350" i="28"/>
  <c r="S351" i="28"/>
  <c r="S352" i="28"/>
  <c r="S353" i="28"/>
  <c r="S354" i="28"/>
  <c r="S355" i="28"/>
  <c r="S356" i="28"/>
  <c r="S357" i="28"/>
  <c r="S358" i="28"/>
  <c r="S359" i="28"/>
  <c r="S360" i="28"/>
  <c r="S361" i="28"/>
  <c r="S362" i="28"/>
  <c r="S363" i="28"/>
  <c r="S364" i="28"/>
  <c r="S365" i="28"/>
  <c r="S366" i="28"/>
  <c r="S367" i="28"/>
  <c r="S368" i="28"/>
  <c r="S369" i="28"/>
  <c r="S370" i="28"/>
  <c r="S371" i="28"/>
  <c r="S372" i="28"/>
  <c r="S373" i="28"/>
  <c r="S374" i="28"/>
  <c r="S375" i="28"/>
  <c r="S376" i="28"/>
  <c r="S377" i="28"/>
  <c r="S378" i="28"/>
  <c r="S379" i="28"/>
  <c r="S380" i="28"/>
  <c r="S381" i="28"/>
  <c r="S382" i="28"/>
  <c r="S383" i="28"/>
  <c r="S384" i="28"/>
  <c r="S385" i="28"/>
  <c r="S386" i="28"/>
  <c r="S387" i="28"/>
  <c r="S388" i="28"/>
  <c r="S389" i="28"/>
  <c r="S390" i="28"/>
  <c r="S391" i="28"/>
  <c r="S392" i="28"/>
  <c r="S393" i="28"/>
  <c r="S394" i="28"/>
  <c r="S395" i="28"/>
  <c r="S396" i="28"/>
  <c r="S397" i="28"/>
  <c r="S398" i="28"/>
  <c r="S399" i="28"/>
  <c r="S400" i="28"/>
  <c r="S401" i="28"/>
  <c r="S402" i="28"/>
  <c r="S403" i="28"/>
  <c r="S405" i="28"/>
  <c r="S406" i="28"/>
  <c r="S407" i="28"/>
  <c r="S408" i="28"/>
  <c r="S409" i="28"/>
  <c r="S410" i="28"/>
  <c r="S411" i="28"/>
  <c r="S412" i="28"/>
  <c r="S413" i="28"/>
  <c r="S414" i="28"/>
  <c r="S415" i="28"/>
  <c r="S416" i="28"/>
  <c r="S417" i="28"/>
  <c r="S418" i="28"/>
  <c r="S420" i="28"/>
  <c r="S421" i="28"/>
  <c r="S422" i="28"/>
  <c r="S423" i="28"/>
  <c r="S424" i="28"/>
  <c r="S425" i="28"/>
  <c r="S426" i="28"/>
  <c r="S427" i="28"/>
  <c r="S428" i="28"/>
  <c r="S430" i="28"/>
  <c r="S431" i="28"/>
  <c r="S432" i="28"/>
  <c r="S433" i="28"/>
  <c r="S434" i="28"/>
  <c r="S435" i="28"/>
  <c r="S436" i="28"/>
  <c r="S437" i="28"/>
  <c r="S438" i="28"/>
  <c r="S439" i="28"/>
  <c r="S440" i="28"/>
  <c r="S441" i="28"/>
  <c r="S442" i="28"/>
  <c r="S443" i="28"/>
  <c r="S444" i="28"/>
  <c r="S445" i="28"/>
  <c r="S446" i="28"/>
  <c r="S447" i="28"/>
  <c r="S448" i="28"/>
  <c r="S449" i="28"/>
  <c r="S450" i="28"/>
  <c r="S451" i="28"/>
  <c r="S452" i="28"/>
  <c r="S453" i="28"/>
  <c r="S454" i="28"/>
  <c r="S455" i="28"/>
  <c r="S456" i="28"/>
  <c r="S457" i="28"/>
  <c r="S458" i="28"/>
  <c r="S459" i="28"/>
  <c r="S460" i="28"/>
  <c r="S462" i="28"/>
  <c r="S463" i="28"/>
  <c r="S465" i="28"/>
  <c r="S466" i="28"/>
  <c r="S467" i="28"/>
  <c r="S468" i="28"/>
  <c r="S469" i="28"/>
  <c r="S12" i="28"/>
  <c r="S13" i="28"/>
  <c r="S14" i="28"/>
  <c r="S15" i="28"/>
  <c r="S16" i="28"/>
  <c r="S17" i="28"/>
  <c r="S19" i="28"/>
  <c r="S20" i="28"/>
  <c r="S21" i="28"/>
  <c r="S22" i="28"/>
  <c r="S23" i="28"/>
  <c r="S24" i="28"/>
  <c r="S26" i="28"/>
  <c r="S27" i="28"/>
  <c r="S28" i="28"/>
  <c r="S29" i="28"/>
  <c r="S30" i="28"/>
  <c r="S31" i="28"/>
  <c r="S32" i="28"/>
  <c r="S33" i="28"/>
  <c r="S34" i="28"/>
  <c r="S35" i="28"/>
  <c r="S36" i="28"/>
  <c r="S37" i="28"/>
  <c r="S38" i="28"/>
  <c r="S39" i="28"/>
  <c r="S40" i="28"/>
  <c r="S41" i="28"/>
  <c r="S42" i="28"/>
  <c r="S44" i="28"/>
  <c r="S45" i="28"/>
  <c r="S46" i="28"/>
  <c r="S47" i="28"/>
  <c r="S49" i="28"/>
  <c r="S51" i="28"/>
  <c r="S52" i="28"/>
  <c r="S53" i="28"/>
  <c r="S54" i="28"/>
  <c r="S55" i="28"/>
  <c r="S56" i="28"/>
  <c r="S57" i="28"/>
  <c r="S58" i="28"/>
  <c r="S59" i="28"/>
  <c r="S61" i="28"/>
  <c r="S62" i="28"/>
  <c r="S63" i="28"/>
  <c r="S64" i="28"/>
  <c r="S66" i="28"/>
  <c r="S68" i="28"/>
  <c r="S69" i="28"/>
  <c r="S70" i="28"/>
  <c r="S71" i="28"/>
  <c r="S72" i="28"/>
  <c r="S73" i="28"/>
  <c r="S74" i="28"/>
  <c r="S75" i="28"/>
  <c r="S78" i="28"/>
  <c r="S79" i="28"/>
  <c r="S80" i="28"/>
  <c r="S81" i="28"/>
  <c r="S82" i="28"/>
  <c r="S83" i="28"/>
  <c r="S84" i="28"/>
  <c r="S85" i="28"/>
  <c r="S86" i="28"/>
  <c r="S88" i="28"/>
  <c r="S89" i="28"/>
  <c r="S90" i="28"/>
  <c r="S91" i="28"/>
  <c r="S92" i="28"/>
  <c r="S94" i="28"/>
  <c r="S95" i="28"/>
  <c r="S96" i="28"/>
  <c r="S97" i="28"/>
  <c r="S98" i="28"/>
  <c r="S99" i="28"/>
  <c r="S100" i="28"/>
  <c r="S101" i="28"/>
  <c r="S102" i="28"/>
  <c r="S103" i="28"/>
  <c r="S104" i="28"/>
  <c r="S105" i="28"/>
  <c r="S106" i="28"/>
  <c r="S107" i="28"/>
  <c r="S108" i="28"/>
  <c r="S109" i="28"/>
  <c r="S110" i="28"/>
  <c r="S111" i="28"/>
  <c r="S112" i="28"/>
  <c r="S113" i="28"/>
  <c r="S114" i="28"/>
  <c r="S115" i="28"/>
  <c r="S116" i="28"/>
  <c r="S117" i="28"/>
  <c r="S118" i="28"/>
  <c r="S119" i="28"/>
  <c r="S120" i="28"/>
  <c r="S121" i="28"/>
  <c r="S122" i="28"/>
  <c r="S123" i="28"/>
  <c r="S124" i="28"/>
  <c r="S125" i="28"/>
  <c r="S126" i="28"/>
  <c r="S127" i="28"/>
  <c r="S128" i="28"/>
  <c r="S129" i="28"/>
  <c r="S130" i="28"/>
  <c r="S131" i="28"/>
  <c r="S132" i="28"/>
  <c r="S133" i="28"/>
  <c r="S134" i="28"/>
  <c r="S135" i="28"/>
  <c r="S136" i="28"/>
  <c r="S137" i="28"/>
  <c r="S138" i="28"/>
  <c r="S139" i="28"/>
  <c r="S140" i="28"/>
  <c r="S141" i="28"/>
  <c r="S142" i="28"/>
  <c r="S143" i="28"/>
  <c r="S144" i="28"/>
  <c r="S145" i="28"/>
  <c r="S146" i="28"/>
  <c r="S147" i="28"/>
  <c r="S148" i="28"/>
  <c r="S149" i="28"/>
  <c r="S150" i="28"/>
  <c r="S151" i="28"/>
  <c r="S152" i="28"/>
  <c r="S154" i="28"/>
  <c r="S155" i="28"/>
  <c r="S156" i="28"/>
  <c r="S158" i="28"/>
  <c r="S159" i="28"/>
  <c r="S160" i="28"/>
  <c r="S161" i="28"/>
  <c r="S162" i="28"/>
  <c r="S163" i="28"/>
  <c r="S164" i="28"/>
  <c r="S165" i="28"/>
  <c r="S166" i="28"/>
  <c r="S167" i="28"/>
  <c r="S168" i="28"/>
  <c r="S169" i="28"/>
  <c r="S170" i="28"/>
  <c r="S171" i="28"/>
  <c r="S172" i="28"/>
  <c r="S173" i="28"/>
  <c r="S174" i="28"/>
  <c r="S175" i="28"/>
  <c r="S176" i="28"/>
  <c r="S177" i="28"/>
  <c r="S178" i="28"/>
  <c r="S179" i="28"/>
  <c r="S180" i="28"/>
  <c r="S181" i="28"/>
  <c r="S182" i="28"/>
  <c r="S183" i="28"/>
  <c r="S184" i="28"/>
  <c r="S185" i="28"/>
  <c r="S186" i="28"/>
  <c r="S187" i="28"/>
  <c r="S188" i="28"/>
  <c r="S189" i="28"/>
  <c r="S190" i="28"/>
  <c r="S191" i="28"/>
  <c r="S192" i="28"/>
  <c r="S193" i="28"/>
  <c r="S194" i="28"/>
  <c r="S195" i="28"/>
  <c r="S196" i="28"/>
  <c r="S197" i="28"/>
  <c r="S198" i="28"/>
  <c r="S199" i="28"/>
  <c r="S200" i="28"/>
  <c r="S203" i="28"/>
  <c r="S204" i="28"/>
  <c r="S205" i="28"/>
  <c r="S206" i="28"/>
  <c r="S207" i="28"/>
  <c r="S208" i="28"/>
  <c r="S209" i="28"/>
  <c r="S210" i="28"/>
  <c r="S211" i="28"/>
  <c r="S212" i="28"/>
  <c r="S213" i="28"/>
  <c r="S215" i="28"/>
  <c r="S217" i="28"/>
  <c r="S218" i="28"/>
  <c r="S219" i="28"/>
  <c r="S220" i="28"/>
  <c r="S221" i="28"/>
  <c r="S222" i="28"/>
  <c r="S223" i="28"/>
  <c r="S224" i="28"/>
  <c r="S225" i="28"/>
  <c r="S226" i="28"/>
  <c r="S227" i="28"/>
  <c r="S228" i="28"/>
  <c r="S230" i="28"/>
  <c r="S232" i="28"/>
  <c r="S233" i="28"/>
  <c r="S234" i="28"/>
  <c r="S235" i="28"/>
  <c r="S236" i="28"/>
  <c r="S237" i="28"/>
  <c r="S238" i="28"/>
  <c r="S239" i="28"/>
  <c r="S240" i="28"/>
  <c r="S242" i="28"/>
  <c r="S243" i="28"/>
  <c r="S245" i="28"/>
  <c r="S246" i="28"/>
  <c r="S247" i="28"/>
  <c r="S248" i="28"/>
  <c r="S249" i="28"/>
  <c r="S250" i="28"/>
  <c r="S251" i="28"/>
  <c r="S252" i="28"/>
  <c r="S253" i="28"/>
  <c r="S254" i="28"/>
  <c r="S255" i="28"/>
  <c r="S256" i="28"/>
  <c r="S257" i="28"/>
  <c r="S258" i="28"/>
  <c r="S259" i="28"/>
  <c r="S260" i="28"/>
  <c r="S261" i="28"/>
  <c r="S262" i="28"/>
  <c r="S263" i="28"/>
  <c r="S264" i="28"/>
  <c r="S266" i="28"/>
  <c r="S268" i="28"/>
  <c r="S269" i="28"/>
  <c r="S270" i="28"/>
  <c r="S271" i="28"/>
  <c r="S272" i="28"/>
  <c r="S273" i="28"/>
  <c r="S274" i="28"/>
  <c r="S275" i="28"/>
  <c r="S276" i="28"/>
  <c r="S277" i="28"/>
  <c r="S278" i="28"/>
  <c r="S279" i="28"/>
  <c r="S280" i="28"/>
  <c r="S281" i="28"/>
  <c r="S282" i="28"/>
  <c r="S283" i="28"/>
  <c r="S284" i="28"/>
  <c r="S285" i="28"/>
  <c r="S286" i="28"/>
  <c r="S287" i="28"/>
  <c r="S288" i="28"/>
  <c r="S289" i="28"/>
  <c r="S290" i="28"/>
  <c r="S291" i="28"/>
  <c r="S292" i="28"/>
  <c r="S293" i="28"/>
  <c r="S294" i="28"/>
  <c r="S295" i="28"/>
  <c r="S296" i="28"/>
  <c r="S297" i="28"/>
  <c r="S298" i="28"/>
  <c r="S299" i="28"/>
  <c r="S300" i="28"/>
  <c r="S301" i="28"/>
  <c r="S302" i="28"/>
  <c r="S303" i="28"/>
  <c r="S304" i="28"/>
  <c r="S305" i="28"/>
  <c r="S306" i="28"/>
  <c r="S307" i="28"/>
  <c r="S308" i="28"/>
  <c r="S309" i="28"/>
  <c r="S310" i="28"/>
  <c r="S311" i="28"/>
  <c r="S312" i="28"/>
  <c r="S313" i="28"/>
  <c r="S314" i="28"/>
  <c r="S315" i="28"/>
  <c r="S316" i="28"/>
  <c r="S317" i="28"/>
  <c r="S318" i="28"/>
  <c r="S319" i="28"/>
  <c r="S320" i="28"/>
  <c r="S321" i="28"/>
  <c r="S322" i="28"/>
  <c r="S323" i="28"/>
  <c r="S324" i="28"/>
  <c r="S325" i="28"/>
  <c r="S326" i="28"/>
  <c r="S327" i="28"/>
  <c r="S328" i="28"/>
  <c r="S329" i="28"/>
  <c r="S330" i="28"/>
  <c r="S331" i="28"/>
  <c r="S11" i="28"/>
  <c r="D472" i="28"/>
  <c r="E472" i="28" s="1"/>
  <c r="D473" i="28"/>
  <c r="E473" i="28" s="1"/>
  <c r="D474" i="28"/>
  <c r="E474" i="28" s="1"/>
  <c r="D471" i="28"/>
  <c r="E471" i="28" s="1"/>
  <c r="D266" i="28"/>
  <c r="E266" i="28" s="1"/>
  <c r="D260" i="28"/>
  <c r="E260" i="28" s="1"/>
  <c r="D261" i="28"/>
  <c r="E261" i="28" s="1"/>
  <c r="D262" i="28"/>
  <c r="E262" i="28" s="1"/>
  <c r="D263" i="28"/>
  <c r="E263" i="28" s="1"/>
  <c r="D264" i="28"/>
  <c r="E264" i="28" s="1"/>
  <c r="D246" i="28"/>
  <c r="E246" i="28" s="1"/>
  <c r="D247" i="28"/>
  <c r="E247" i="28" s="1"/>
  <c r="D248" i="28"/>
  <c r="E248" i="28" s="1"/>
  <c r="D249" i="28"/>
  <c r="E249" i="28" s="1"/>
  <c r="D250" i="28"/>
  <c r="E250" i="28" s="1"/>
  <c r="D251" i="28"/>
  <c r="E251" i="28" s="1"/>
  <c r="D252" i="28"/>
  <c r="E252" i="28" s="1"/>
  <c r="D253" i="28"/>
  <c r="E253" i="28" s="1"/>
  <c r="D254" i="28"/>
  <c r="E254" i="28" s="1"/>
  <c r="D255" i="28"/>
  <c r="E255" i="28" s="1"/>
  <c r="D256" i="28"/>
  <c r="E256" i="28" s="1"/>
  <c r="D257" i="28"/>
  <c r="E257" i="28" s="1"/>
  <c r="D258" i="28"/>
  <c r="E258" i="28" s="1"/>
  <c r="D259" i="28"/>
  <c r="E259" i="28" s="1"/>
  <c r="D245" i="28"/>
  <c r="E245" i="28" s="1"/>
  <c r="D243" i="28"/>
  <c r="E243" i="28" s="1"/>
  <c r="D242" i="28"/>
  <c r="E242" i="28" s="1"/>
  <c r="D233" i="28"/>
  <c r="E233" i="28" s="1"/>
  <c r="D234" i="28"/>
  <c r="E234" i="28" s="1"/>
  <c r="D235" i="28"/>
  <c r="E235" i="28" s="1"/>
  <c r="D236" i="28"/>
  <c r="E236" i="28" s="1"/>
  <c r="D237" i="28"/>
  <c r="E237" i="28" s="1"/>
  <c r="D238" i="28"/>
  <c r="E238" i="28" s="1"/>
  <c r="D239" i="28"/>
  <c r="E239" i="28" s="1"/>
  <c r="D240" i="28"/>
  <c r="E240" i="28" s="1"/>
  <c r="D232" i="28"/>
  <c r="E232" i="28" s="1"/>
  <c r="D230" i="28"/>
  <c r="E230" i="28" s="1"/>
  <c r="D227" i="28"/>
  <c r="E227" i="28" s="1"/>
  <c r="D228" i="28"/>
  <c r="E228" i="28" s="1"/>
  <c r="D218" i="28"/>
  <c r="E218" i="28" s="1"/>
  <c r="D219" i="28"/>
  <c r="E219" i="28" s="1"/>
  <c r="D220" i="28"/>
  <c r="E220" i="28" s="1"/>
  <c r="D221" i="28"/>
  <c r="E221" i="28" s="1"/>
  <c r="D222" i="28"/>
  <c r="E222" i="28" s="1"/>
  <c r="D223" i="28"/>
  <c r="E223" i="28" s="1"/>
  <c r="D224" i="28"/>
  <c r="E224" i="28" s="1"/>
  <c r="D225" i="28"/>
  <c r="E225" i="28" s="1"/>
  <c r="D226" i="28"/>
  <c r="E226" i="28" s="1"/>
  <c r="D217" i="28"/>
  <c r="E217" i="28" s="1"/>
  <c r="D215" i="28"/>
  <c r="E215" i="28" s="1"/>
  <c r="D204" i="28"/>
  <c r="E204" i="28" s="1"/>
  <c r="D205" i="28"/>
  <c r="E205" i="28" s="1"/>
  <c r="D206" i="28"/>
  <c r="E206" i="28" s="1"/>
  <c r="D207" i="28"/>
  <c r="E207" i="28" s="1"/>
  <c r="D208" i="28"/>
  <c r="E208" i="28" s="1"/>
  <c r="D209" i="28"/>
  <c r="E209" i="28" s="1"/>
  <c r="D210" i="28"/>
  <c r="E210" i="28" s="1"/>
  <c r="D211" i="28"/>
  <c r="E211" i="28" s="1"/>
  <c r="D212" i="28"/>
  <c r="E212" i="28" s="1"/>
  <c r="D213" i="28"/>
  <c r="E213" i="28" s="1"/>
  <c r="D203" i="28"/>
  <c r="E203" i="28" s="1"/>
  <c r="D192" i="28"/>
  <c r="E192" i="28" s="1"/>
  <c r="D193" i="28"/>
  <c r="E193" i="28" s="1"/>
  <c r="D194" i="28"/>
  <c r="E194" i="28" s="1"/>
  <c r="D195" i="28"/>
  <c r="E195" i="28" s="1"/>
  <c r="D196" i="28"/>
  <c r="E196" i="28" s="1"/>
  <c r="D197" i="28"/>
  <c r="E197" i="28" s="1"/>
  <c r="D198" i="28"/>
  <c r="E198" i="28" s="1"/>
  <c r="D199" i="28"/>
  <c r="E199" i="28" s="1"/>
  <c r="D200" i="28"/>
  <c r="E200" i="28" s="1"/>
  <c r="D181" i="28"/>
  <c r="E181" i="28" s="1"/>
  <c r="D182" i="28"/>
  <c r="E182" i="28" s="1"/>
  <c r="D183" i="28"/>
  <c r="E183" i="28" s="1"/>
  <c r="D184" i="28"/>
  <c r="E184" i="28" s="1"/>
  <c r="D185" i="28"/>
  <c r="E185" i="28" s="1"/>
  <c r="D186" i="28"/>
  <c r="E186" i="28" s="1"/>
  <c r="D187" i="28"/>
  <c r="E187" i="28" s="1"/>
  <c r="D188" i="28"/>
  <c r="E188" i="28" s="1"/>
  <c r="D189" i="28"/>
  <c r="E189" i="28" s="1"/>
  <c r="D190" i="28"/>
  <c r="E190" i="28" s="1"/>
  <c r="D191" i="28"/>
  <c r="E191" i="28" s="1"/>
  <c r="D169" i="28"/>
  <c r="E169" i="28" s="1"/>
  <c r="D170" i="28"/>
  <c r="E170" i="28" s="1"/>
  <c r="D171" i="28"/>
  <c r="E171" i="28" s="1"/>
  <c r="D172" i="28"/>
  <c r="E172" i="28" s="1"/>
  <c r="D173" i="28"/>
  <c r="E173" i="28" s="1"/>
  <c r="D174" i="28"/>
  <c r="E174" i="28" s="1"/>
  <c r="D175" i="28"/>
  <c r="E175" i="28" s="1"/>
  <c r="D176" i="28"/>
  <c r="E176" i="28" s="1"/>
  <c r="D177" i="28"/>
  <c r="E177" i="28" s="1"/>
  <c r="D178" i="28"/>
  <c r="E178" i="28" s="1"/>
  <c r="D179" i="28"/>
  <c r="E179" i="28" s="1"/>
  <c r="D180" i="28"/>
  <c r="E180" i="28" s="1"/>
  <c r="D159" i="28"/>
  <c r="E159" i="28" s="1"/>
  <c r="D160" i="28"/>
  <c r="E160" i="28" s="1"/>
  <c r="D161" i="28"/>
  <c r="E161" i="28" s="1"/>
  <c r="D162" i="28"/>
  <c r="E162" i="28" s="1"/>
  <c r="D163" i="28"/>
  <c r="E163" i="28" s="1"/>
  <c r="D164" i="28"/>
  <c r="E164" i="28" s="1"/>
  <c r="D165" i="28"/>
  <c r="E165" i="28" s="1"/>
  <c r="D166" i="28"/>
  <c r="E166" i="28" s="1"/>
  <c r="D167" i="28"/>
  <c r="E167" i="28" s="1"/>
  <c r="D168" i="28"/>
  <c r="E168" i="28" s="1"/>
  <c r="D158" i="28"/>
  <c r="E158" i="28" s="1"/>
  <c r="D155" i="28"/>
  <c r="E155" i="28" s="1"/>
  <c r="D156" i="28"/>
  <c r="E156" i="28" s="1"/>
  <c r="D154" i="28"/>
  <c r="E154" i="28" s="1"/>
  <c r="D142" i="28"/>
  <c r="E142" i="28" s="1"/>
  <c r="D143" i="28"/>
  <c r="E143" i="28" s="1"/>
  <c r="D144" i="28"/>
  <c r="E144" i="28" s="1"/>
  <c r="D145" i="28"/>
  <c r="E145" i="28" s="1"/>
  <c r="D146" i="28"/>
  <c r="E146" i="28" s="1"/>
  <c r="D147" i="28"/>
  <c r="E147" i="28" s="1"/>
  <c r="D148" i="28"/>
  <c r="E148" i="28" s="1"/>
  <c r="D149" i="28"/>
  <c r="E149" i="28" s="1"/>
  <c r="D150" i="28"/>
  <c r="E150" i="28" s="1"/>
  <c r="D151" i="28"/>
  <c r="E151" i="28" s="1"/>
  <c r="D152" i="28"/>
  <c r="E152" i="28" s="1"/>
  <c r="D135" i="28"/>
  <c r="E135" i="28" s="1"/>
  <c r="D136" i="28"/>
  <c r="E136" i="28" s="1"/>
  <c r="D137" i="28"/>
  <c r="E137" i="28" s="1"/>
  <c r="D138" i="28"/>
  <c r="E138" i="28" s="1"/>
  <c r="D139" i="28"/>
  <c r="E139" i="28" s="1"/>
  <c r="D140" i="28"/>
  <c r="E140" i="28" s="1"/>
  <c r="D141" i="28"/>
  <c r="E141" i="28" s="1"/>
  <c r="D127" i="28"/>
  <c r="E127" i="28" s="1"/>
  <c r="D128" i="28"/>
  <c r="E128" i="28" s="1"/>
  <c r="D129" i="28"/>
  <c r="E129" i="28" s="1"/>
  <c r="D130" i="28"/>
  <c r="E130" i="28" s="1"/>
  <c r="D131" i="28"/>
  <c r="E131" i="28" s="1"/>
  <c r="D132" i="28"/>
  <c r="E132" i="28" s="1"/>
  <c r="D133" i="28"/>
  <c r="E133" i="28" s="1"/>
  <c r="D134" i="28"/>
  <c r="E134" i="28" s="1"/>
  <c r="D117" i="28"/>
  <c r="E117" i="28" s="1"/>
  <c r="D118" i="28"/>
  <c r="E118" i="28" s="1"/>
  <c r="D119" i="28"/>
  <c r="E119" i="28" s="1"/>
  <c r="D120" i="28"/>
  <c r="E120" i="28" s="1"/>
  <c r="D121" i="28"/>
  <c r="E121" i="28" s="1"/>
  <c r="D122" i="28"/>
  <c r="E122" i="28" s="1"/>
  <c r="D123" i="28"/>
  <c r="E123" i="28" s="1"/>
  <c r="D124" i="28"/>
  <c r="E124" i="28" s="1"/>
  <c r="D125" i="28"/>
  <c r="E125" i="28" s="1"/>
  <c r="D126" i="28"/>
  <c r="E126" i="28" s="1"/>
  <c r="D109" i="28"/>
  <c r="E109" i="28" s="1"/>
  <c r="D110" i="28"/>
  <c r="E110" i="28" s="1"/>
  <c r="D111" i="28"/>
  <c r="E111" i="28" s="1"/>
  <c r="D112" i="28"/>
  <c r="E112" i="28" s="1"/>
  <c r="D113" i="28"/>
  <c r="E113" i="28" s="1"/>
  <c r="D114" i="28"/>
  <c r="E114" i="28" s="1"/>
  <c r="D115" i="28"/>
  <c r="E115" i="28" s="1"/>
  <c r="D116" i="28"/>
  <c r="E116" i="28" s="1"/>
  <c r="D104" i="28"/>
  <c r="E104" i="28" s="1"/>
  <c r="D105" i="28"/>
  <c r="E105" i="28" s="1"/>
  <c r="D106" i="28"/>
  <c r="E106" i="28" s="1"/>
  <c r="D107" i="28"/>
  <c r="E107" i="28" s="1"/>
  <c r="D108" i="28"/>
  <c r="E108" i="28" s="1"/>
  <c r="D95" i="28"/>
  <c r="E95" i="28" s="1"/>
  <c r="D96" i="28"/>
  <c r="E96" i="28" s="1"/>
  <c r="D97" i="28"/>
  <c r="E97" i="28" s="1"/>
  <c r="D98" i="28"/>
  <c r="E98" i="28" s="1"/>
  <c r="D99" i="28"/>
  <c r="E99" i="28" s="1"/>
  <c r="D100" i="28"/>
  <c r="E100" i="28" s="1"/>
  <c r="D101" i="28"/>
  <c r="E101" i="28" s="1"/>
  <c r="D102" i="28"/>
  <c r="E102" i="28" s="1"/>
  <c r="D103" i="28"/>
  <c r="E103" i="28" s="1"/>
  <c r="D94" i="28"/>
  <c r="E94" i="28" s="1"/>
  <c r="D89" i="28"/>
  <c r="E89" i="28" s="1"/>
  <c r="D90" i="28"/>
  <c r="E90" i="28" s="1"/>
  <c r="D91" i="28"/>
  <c r="E91" i="28" s="1"/>
  <c r="D92" i="28"/>
  <c r="E92" i="28" s="1"/>
  <c r="D88" i="28"/>
  <c r="E88" i="28" s="1"/>
  <c r="D79" i="28"/>
  <c r="E79" i="28" s="1"/>
  <c r="D80" i="28"/>
  <c r="E80" i="28" s="1"/>
  <c r="D81" i="28"/>
  <c r="E81" i="28" s="1"/>
  <c r="D82" i="28"/>
  <c r="E82" i="28" s="1"/>
  <c r="D83" i="28"/>
  <c r="E83" i="28" s="1"/>
  <c r="D84" i="28"/>
  <c r="E84" i="28" s="1"/>
  <c r="D85" i="28"/>
  <c r="E85" i="28" s="1"/>
  <c r="D86" i="28"/>
  <c r="E86" i="28" s="1"/>
  <c r="D78" i="28"/>
  <c r="E78" i="28" s="1"/>
  <c r="D69" i="28"/>
  <c r="E69" i="28" s="1"/>
  <c r="D70" i="28"/>
  <c r="E70" i="28" s="1"/>
  <c r="D71" i="28"/>
  <c r="E71" i="28" s="1"/>
  <c r="D72" i="28"/>
  <c r="E72" i="28" s="1"/>
  <c r="D73" i="28"/>
  <c r="E73" i="28" s="1"/>
  <c r="D74" i="28"/>
  <c r="E74" i="28" s="1"/>
  <c r="D75" i="28"/>
  <c r="E75" i="28" s="1"/>
  <c r="D68" i="28"/>
  <c r="E68" i="28" s="1"/>
  <c r="D66" i="28"/>
  <c r="E66" i="28" s="1"/>
  <c r="D62" i="28"/>
  <c r="E62" i="28" s="1"/>
  <c r="D63" i="28"/>
  <c r="E63" i="28" s="1"/>
  <c r="D64" i="28"/>
  <c r="E64" i="28" s="1"/>
  <c r="D61" i="28"/>
  <c r="E61" i="28" s="1"/>
  <c r="D52" i="28"/>
  <c r="E52" i="28" s="1"/>
  <c r="D53" i="28"/>
  <c r="E53" i="28" s="1"/>
  <c r="D54" i="28"/>
  <c r="E54" i="28" s="1"/>
  <c r="D55" i="28"/>
  <c r="E55" i="28" s="1"/>
  <c r="D56" i="28"/>
  <c r="E56" i="28" s="1"/>
  <c r="D57" i="28"/>
  <c r="E57" i="28" s="1"/>
  <c r="D58" i="28"/>
  <c r="E58" i="28" s="1"/>
  <c r="D59" i="28"/>
  <c r="E59" i="28" s="1"/>
  <c r="D51" i="28"/>
  <c r="E51" i="28" s="1"/>
  <c r="D49" i="28"/>
  <c r="E49" i="28" s="1"/>
  <c r="D45" i="28"/>
  <c r="E45" i="28" s="1"/>
  <c r="D46" i="28"/>
  <c r="E46" i="28" s="1"/>
  <c r="D47" i="28"/>
  <c r="E47" i="28" s="1"/>
  <c r="D44" i="28"/>
  <c r="E44" i="28" s="1"/>
  <c r="D27" i="28"/>
  <c r="E27" i="28" s="1"/>
  <c r="D28" i="28"/>
  <c r="E28" i="28" s="1"/>
  <c r="D29" i="28"/>
  <c r="E29" i="28" s="1"/>
  <c r="D30" i="28"/>
  <c r="E30" i="28" s="1"/>
  <c r="D31" i="28"/>
  <c r="E31" i="28" s="1"/>
  <c r="D32" i="28"/>
  <c r="E32" i="28" s="1"/>
  <c r="D33" i="28"/>
  <c r="E33" i="28" s="1"/>
  <c r="D34" i="28"/>
  <c r="E34" i="28" s="1"/>
  <c r="D35" i="28"/>
  <c r="E35" i="28" s="1"/>
  <c r="D36" i="28"/>
  <c r="E36" i="28" s="1"/>
  <c r="D37" i="28"/>
  <c r="E37" i="28" s="1"/>
  <c r="D38" i="28"/>
  <c r="E38" i="28" s="1"/>
  <c r="D39" i="28"/>
  <c r="E39" i="28" s="1"/>
  <c r="D40" i="28"/>
  <c r="E40" i="28" s="1"/>
  <c r="D41" i="28"/>
  <c r="E41" i="28" s="1"/>
  <c r="D42" i="28"/>
  <c r="E42" i="28" s="1"/>
  <c r="D26" i="28"/>
  <c r="E26" i="28" s="1"/>
  <c r="D20" i="28"/>
  <c r="E20" i="28" s="1"/>
  <c r="D21" i="28"/>
  <c r="E21" i="28" s="1"/>
  <c r="D22" i="28"/>
  <c r="E22" i="28" s="1"/>
  <c r="D23" i="28"/>
  <c r="E23" i="28" s="1"/>
  <c r="D24" i="28"/>
  <c r="E24" i="28" s="1"/>
  <c r="D19" i="28"/>
  <c r="E19" i="28" s="1"/>
  <c r="D12" i="28"/>
  <c r="E12" i="28" s="1"/>
  <c r="D13" i="28"/>
  <c r="E13" i="28" s="1"/>
  <c r="D14" i="28"/>
  <c r="E14" i="28" s="1"/>
  <c r="D15" i="28"/>
  <c r="E15" i="28" s="1"/>
  <c r="D16" i="28"/>
  <c r="E16" i="28" s="1"/>
  <c r="D17" i="28"/>
  <c r="E17" i="28" s="1"/>
  <c r="D11" i="28"/>
  <c r="E11" i="28" s="1"/>
  <c r="E928" i="7" l="1"/>
  <c r="D928" i="7" s="1"/>
  <c r="E262" i="8"/>
  <c r="D262" i="8" s="1"/>
  <c r="E263" i="8"/>
  <c r="D263" i="8" s="1"/>
  <c r="E257" i="8" l="1"/>
  <c r="E258" i="8"/>
  <c r="E259" i="8"/>
  <c r="E260" i="8"/>
  <c r="E261" i="8"/>
  <c r="D261" i="8" s="1"/>
  <c r="D257" i="8"/>
  <c r="D258" i="8"/>
  <c r="D259" i="8"/>
  <c r="D260" i="8"/>
  <c r="E855" i="7"/>
  <c r="E856" i="7"/>
  <c r="D855" i="7"/>
  <c r="D856" i="7"/>
  <c r="A7" i="29" l="1"/>
  <c r="E53" i="29" l="1"/>
  <c r="D53" i="29" s="1"/>
  <c r="K52" i="29"/>
  <c r="J52" i="29"/>
  <c r="I52" i="29"/>
  <c r="H52" i="29"/>
  <c r="G52" i="29"/>
  <c r="E52" i="29"/>
  <c r="D52" i="29" s="1"/>
  <c r="H51" i="29"/>
  <c r="G51" i="29"/>
  <c r="E51" i="29"/>
  <c r="D51" i="29" s="1"/>
  <c r="K50" i="29"/>
  <c r="J50" i="29"/>
  <c r="I50" i="29"/>
  <c r="E50" i="29"/>
  <c r="D50" i="29" s="1"/>
  <c r="K49" i="29"/>
  <c r="J49" i="29"/>
  <c r="I49" i="29"/>
  <c r="H49" i="29"/>
  <c r="G49" i="29"/>
  <c r="E49" i="29"/>
  <c r="D49" i="29" s="1"/>
  <c r="K48" i="29"/>
  <c r="J48" i="29"/>
  <c r="I48" i="29"/>
  <c r="H48" i="29"/>
  <c r="G48" i="29"/>
  <c r="E48" i="29"/>
  <c r="D48" i="29" s="1"/>
  <c r="K47" i="29"/>
  <c r="J47" i="29"/>
  <c r="I47" i="29"/>
  <c r="H47" i="29"/>
  <c r="G47" i="29"/>
  <c r="E47" i="29"/>
  <c r="D47" i="29" s="1"/>
  <c r="K46" i="29"/>
  <c r="J46" i="29"/>
  <c r="I46" i="29"/>
  <c r="H46" i="29"/>
  <c r="G46" i="29"/>
  <c r="E46" i="29"/>
  <c r="D46" i="29" s="1"/>
  <c r="K45" i="29"/>
  <c r="J45" i="29"/>
  <c r="I45" i="29"/>
  <c r="H45" i="29"/>
  <c r="G45" i="29"/>
  <c r="E45" i="29"/>
  <c r="D45" i="29" s="1"/>
  <c r="K44" i="29"/>
  <c r="J44" i="29"/>
  <c r="I44" i="29"/>
  <c r="H44" i="29"/>
  <c r="G44" i="29"/>
  <c r="E44" i="29"/>
  <c r="D44" i="29" s="1"/>
  <c r="K42" i="29"/>
  <c r="J42" i="29"/>
  <c r="I42" i="29"/>
  <c r="E42" i="29"/>
  <c r="D42" i="29" s="1"/>
  <c r="K41" i="29"/>
  <c r="J41" i="29"/>
  <c r="I41" i="29"/>
  <c r="H41" i="29"/>
  <c r="G41" i="29"/>
  <c r="E41" i="29"/>
  <c r="D41" i="29" s="1"/>
  <c r="K40" i="29"/>
  <c r="J40" i="29"/>
  <c r="I40" i="29"/>
  <c r="H40" i="29"/>
  <c r="G40" i="29"/>
  <c r="E40" i="29"/>
  <c r="D40" i="29" s="1"/>
  <c r="K39" i="29"/>
  <c r="J39" i="29"/>
  <c r="I39" i="29"/>
  <c r="H39" i="29"/>
  <c r="G39" i="29"/>
  <c r="E39" i="29"/>
  <c r="D39" i="29" s="1"/>
  <c r="K38" i="29"/>
  <c r="J38" i="29"/>
  <c r="I38" i="29"/>
  <c r="H38" i="29"/>
  <c r="G38" i="29"/>
  <c r="E38" i="29"/>
  <c r="D38" i="29" s="1"/>
  <c r="K37" i="29"/>
  <c r="J37" i="29"/>
  <c r="I37" i="29"/>
  <c r="H37" i="29"/>
  <c r="G37" i="29"/>
  <c r="E37" i="29"/>
  <c r="D37" i="29" s="1"/>
  <c r="K36" i="29"/>
  <c r="J36" i="29"/>
  <c r="I36" i="29"/>
  <c r="H36" i="29"/>
  <c r="G36" i="29"/>
  <c r="E36" i="29"/>
  <c r="D36" i="29" s="1"/>
  <c r="K35" i="29"/>
  <c r="J35" i="29"/>
  <c r="I35" i="29"/>
  <c r="H35" i="29"/>
  <c r="G35" i="29"/>
  <c r="E35" i="29"/>
  <c r="D35" i="29" s="1"/>
  <c r="K34" i="29"/>
  <c r="J34" i="29"/>
  <c r="I34" i="29"/>
  <c r="H34" i="29"/>
  <c r="G34" i="29"/>
  <c r="E34" i="29"/>
  <c r="D34" i="29" s="1"/>
  <c r="K32" i="29"/>
  <c r="J32" i="29"/>
  <c r="I32" i="29"/>
  <c r="H32" i="29"/>
  <c r="G32" i="29"/>
  <c r="E32" i="29"/>
  <c r="D32" i="29" s="1"/>
  <c r="K31" i="29"/>
  <c r="J31" i="29"/>
  <c r="I31" i="29"/>
  <c r="E31" i="29"/>
  <c r="D31" i="29" s="1"/>
  <c r="K30" i="29"/>
  <c r="J30" i="29"/>
  <c r="I30" i="29"/>
  <c r="E30" i="29"/>
  <c r="D30" i="29" s="1"/>
  <c r="K29" i="29"/>
  <c r="J29" i="29"/>
  <c r="I29" i="29"/>
  <c r="E29" i="29"/>
  <c r="D29" i="29" s="1"/>
  <c r="K27" i="29"/>
  <c r="J27" i="29"/>
  <c r="I27" i="29"/>
  <c r="E27" i="29"/>
  <c r="D27" i="29" s="1"/>
  <c r="K26" i="29"/>
  <c r="J26" i="29"/>
  <c r="I26" i="29"/>
  <c r="E26" i="29"/>
  <c r="D26" i="29" s="1"/>
  <c r="K24" i="29"/>
  <c r="J24" i="29"/>
  <c r="I24" i="29"/>
  <c r="E24" i="29"/>
  <c r="D24" i="29" s="1"/>
  <c r="K23" i="29"/>
  <c r="J23" i="29"/>
  <c r="I23" i="29"/>
  <c r="H23" i="29"/>
  <c r="G23" i="29"/>
  <c r="E23" i="29"/>
  <c r="D23" i="29" s="1"/>
  <c r="K22" i="29"/>
  <c r="J22" i="29"/>
  <c r="I22" i="29"/>
  <c r="E22" i="29"/>
  <c r="D22" i="29" s="1"/>
  <c r="K21" i="29"/>
  <c r="J21" i="29"/>
  <c r="I21" i="29"/>
  <c r="E21" i="29"/>
  <c r="D21" i="29" s="1"/>
  <c r="K20" i="29"/>
  <c r="J20" i="29"/>
  <c r="I20" i="29"/>
  <c r="E20" i="29"/>
  <c r="D20" i="29" s="1"/>
  <c r="K19" i="29"/>
  <c r="J19" i="29"/>
  <c r="I19" i="29"/>
  <c r="E19" i="29"/>
  <c r="D19" i="29" s="1"/>
  <c r="K18" i="29"/>
  <c r="J18" i="29"/>
  <c r="I18" i="29"/>
  <c r="E18" i="29"/>
  <c r="D18" i="29" s="1"/>
  <c r="K16" i="29"/>
  <c r="J16" i="29"/>
  <c r="I16" i="29"/>
  <c r="E16" i="29"/>
  <c r="D16" i="29" s="1"/>
  <c r="K15" i="29"/>
  <c r="J15" i="29"/>
  <c r="I15" i="29"/>
  <c r="E15" i="29"/>
  <c r="D15" i="29" s="1"/>
  <c r="K14" i="29"/>
  <c r="J14" i="29"/>
  <c r="I14" i="29"/>
  <c r="E14" i="29"/>
  <c r="D14" i="29" s="1"/>
  <c r="K13" i="29"/>
  <c r="J13" i="29"/>
  <c r="I13" i="29"/>
  <c r="H13" i="29"/>
  <c r="G13" i="29"/>
  <c r="E13" i="29"/>
  <c r="D13" i="29" s="1"/>
  <c r="K12" i="29"/>
  <c r="J12" i="29"/>
  <c r="I12" i="29"/>
  <c r="H12" i="29"/>
  <c r="G12" i="29"/>
  <c r="E12" i="29"/>
  <c r="D12" i="29" s="1"/>
  <c r="K11" i="29"/>
  <c r="J11" i="29"/>
  <c r="I11" i="29"/>
  <c r="H11" i="29"/>
  <c r="G11" i="29"/>
  <c r="E11" i="29"/>
  <c r="D11" i="29" s="1"/>
  <c r="G59" i="7" l="1"/>
  <c r="G113" i="7" l="1"/>
  <c r="F21" i="7" l="1"/>
  <c r="F93" i="8"/>
  <c r="F92" i="8"/>
  <c r="F38" i="8"/>
  <c r="E624" i="7"/>
  <c r="D624" i="7" s="1"/>
  <c r="E623" i="7"/>
  <c r="D623" i="7" s="1"/>
  <c r="E557" i="7"/>
  <c r="D557" i="7" s="1"/>
  <c r="E558" i="7"/>
  <c r="D558" i="7" s="1"/>
  <c r="E556" i="7"/>
  <c r="D556" i="7" s="1"/>
  <c r="E554" i="7"/>
  <c r="D554" i="7" s="1"/>
  <c r="E553" i="7"/>
  <c r="D553" i="7" s="1"/>
  <c r="E255" i="7" l="1"/>
  <c r="D255" i="7" s="1"/>
  <c r="E256" i="7"/>
  <c r="E257" i="7"/>
  <c r="D257" i="7" s="1"/>
  <c r="D256" i="7"/>
  <c r="E254" i="7"/>
  <c r="D254" i="7" s="1"/>
  <c r="E551" i="7"/>
  <c r="D551" i="7" s="1"/>
  <c r="E550" i="7"/>
  <c r="D550" i="7" s="1"/>
  <c r="E548" i="7"/>
  <c r="E549" i="7"/>
  <c r="D548" i="7"/>
  <c r="D549" i="7"/>
  <c r="E547" i="7"/>
  <c r="D547" i="7" s="1"/>
  <c r="E180" i="7"/>
  <c r="E181" i="7"/>
  <c r="E182" i="7"/>
  <c r="E183" i="7"/>
  <c r="D180" i="7"/>
  <c r="D181" i="7"/>
  <c r="D182" i="7"/>
  <c r="D183" i="7"/>
  <c r="E179" i="7"/>
  <c r="D179" i="7" s="1"/>
  <c r="E173" i="7"/>
  <c r="D173" i="7" s="1"/>
  <c r="E174" i="7"/>
  <c r="D174" i="7" s="1"/>
  <c r="E175" i="7"/>
  <c r="D175" i="7" s="1"/>
  <c r="E176" i="7"/>
  <c r="D176" i="7" s="1"/>
  <c r="E177" i="7"/>
  <c r="D177" i="7" s="1"/>
  <c r="E172" i="7"/>
  <c r="D172" i="7" s="1"/>
  <c r="E166" i="7"/>
  <c r="D166" i="7" s="1"/>
  <c r="E167" i="7"/>
  <c r="D167" i="7" s="1"/>
  <c r="E168" i="7"/>
  <c r="D168" i="7" s="1"/>
  <c r="E169" i="7"/>
  <c r="D169" i="7" s="1"/>
  <c r="E170" i="7"/>
  <c r="D170" i="7" s="1"/>
  <c r="E165" i="7"/>
  <c r="D165" i="7" s="1"/>
  <c r="F14" i="7" l="1"/>
  <c r="G601" i="7" l="1"/>
  <c r="G262" i="7"/>
  <c r="G261" i="7"/>
  <c r="G260" i="7"/>
  <c r="G259" i="7"/>
  <c r="G252" i="7"/>
  <c r="G250" i="7"/>
  <c r="G247" i="7"/>
  <c r="G246" i="7"/>
  <c r="G245" i="7"/>
  <c r="G243" i="7"/>
  <c r="G241" i="7"/>
  <c r="G240" i="7"/>
  <c r="G239" i="7"/>
  <c r="G238" i="7" l="1"/>
  <c r="G236" i="7"/>
  <c r="G235" i="7"/>
  <c r="G233" i="7"/>
  <c r="G232" i="7"/>
  <c r="G227" i="7"/>
  <c r="G225" i="7"/>
  <c r="G226" i="7"/>
  <c r="G224" i="7"/>
  <c r="G223" i="7"/>
  <c r="G221" i="7"/>
  <c r="G207" i="7"/>
  <c r="G206" i="7"/>
  <c r="G204" i="7"/>
  <c r="G202" i="7"/>
  <c r="G201" i="7"/>
  <c r="G200" i="7"/>
  <c r="G199" i="7"/>
  <c r="G196" i="7"/>
  <c r="G195" i="7"/>
  <c r="G194" i="7"/>
  <c r="G192" i="7"/>
  <c r="G191" i="7"/>
  <c r="G190" i="7"/>
  <c r="G189" i="7"/>
  <c r="G187" i="7"/>
  <c r="G186" i="7"/>
  <c r="G185" i="7"/>
  <c r="G184" i="7"/>
  <c r="G154" i="7"/>
  <c r="G153" i="7"/>
  <c r="G152" i="7"/>
  <c r="G151" i="7"/>
  <c r="G150" i="7"/>
  <c r="G148" i="7"/>
  <c r="G147" i="7"/>
  <c r="G146" i="7"/>
  <c r="G145" i="7"/>
  <c r="G144" i="7" l="1"/>
  <c r="G143" i="7"/>
  <c r="G142" i="7"/>
  <c r="G141" i="7"/>
  <c r="G140" i="7"/>
  <c r="G139" i="7"/>
  <c r="G136" i="7"/>
  <c r="G135" i="7"/>
  <c r="G134" i="7"/>
  <c r="G132" i="7"/>
  <c r="G131" i="7"/>
  <c r="G127" i="7"/>
  <c r="G126" i="7"/>
  <c r="G105" i="7"/>
  <c r="G104" i="7"/>
  <c r="G103" i="7"/>
  <c r="G102" i="7"/>
  <c r="G101" i="7"/>
  <c r="G100" i="7"/>
  <c r="G98" i="7"/>
  <c r="G97" i="7"/>
  <c r="G96" i="7"/>
  <c r="G95" i="7"/>
  <c r="G94" i="7"/>
  <c r="G93" i="7"/>
  <c r="G92" i="7"/>
  <c r="G90" i="7"/>
  <c r="G88" i="7"/>
  <c r="G86" i="7"/>
  <c r="G85" i="7"/>
  <c r="G84" i="7"/>
  <c r="G82" i="7"/>
  <c r="G81" i="7"/>
  <c r="G80" i="7"/>
  <c r="G79" i="7"/>
  <c r="G78" i="7"/>
  <c r="G77" i="7"/>
  <c r="G75" i="7"/>
  <c r="G74" i="7"/>
  <c r="G73" i="7"/>
  <c r="G72" i="7"/>
  <c r="G71" i="7"/>
  <c r="G70" i="7"/>
  <c r="G68" i="7"/>
  <c r="G67" i="7"/>
  <c r="G66" i="7"/>
  <c r="G65" i="7"/>
  <c r="G63" i="7"/>
  <c r="G62" i="7"/>
  <c r="G61" i="7"/>
  <c r="G60" i="7"/>
  <c r="G58" i="7"/>
  <c r="G56" i="7"/>
  <c r="G55" i="7"/>
  <c r="G54" i="7"/>
  <c r="G53" i="7"/>
  <c r="G52" i="7"/>
  <c r="G51" i="7"/>
  <c r="G50" i="7"/>
  <c r="G48" i="7"/>
  <c r="G47" i="7"/>
  <c r="G46" i="7"/>
  <c r="G45" i="7"/>
  <c r="G44" i="7"/>
  <c r="G43" i="7"/>
  <c r="G42" i="7"/>
  <c r="G40" i="7"/>
  <c r="G39" i="7"/>
  <c r="G38" i="7"/>
  <c r="G37" i="7"/>
  <c r="G36" i="7"/>
  <c r="G35" i="7"/>
  <c r="G34" i="7"/>
  <c r="G32" i="7"/>
  <c r="G31" i="7"/>
  <c r="G30" i="7"/>
  <c r="H30" i="7" s="1"/>
  <c r="G29" i="7"/>
  <c r="G24" i="7"/>
  <c r="G23" i="7"/>
  <c r="G22" i="7"/>
  <c r="G19" i="7"/>
  <c r="G18" i="7"/>
  <c r="G17" i="7"/>
  <c r="G16" i="7"/>
  <c r="G15" i="7"/>
  <c r="G14" i="7"/>
  <c r="H378" i="7"/>
  <c r="H380" i="7"/>
  <c r="H381" i="7"/>
  <c r="H382" i="7"/>
  <c r="H14" i="7"/>
  <c r="H15" i="7"/>
  <c r="H16" i="7"/>
  <c r="H17" i="7"/>
  <c r="H18" i="7"/>
  <c r="H19" i="7"/>
  <c r="H20" i="7"/>
  <c r="H21" i="7"/>
  <c r="H22" i="7"/>
  <c r="H23" i="7"/>
  <c r="H24" i="7"/>
  <c r="H25" i="7"/>
  <c r="H26" i="7"/>
  <c r="H27" i="7"/>
  <c r="H28" i="7"/>
  <c r="H29" i="7"/>
  <c r="H31" i="7"/>
  <c r="H379" i="7"/>
  <c r="H540" i="7"/>
  <c r="H541" i="7"/>
  <c r="H542" i="7"/>
  <c r="H463" i="7"/>
  <c r="H464" i="7"/>
  <c r="G13" i="7"/>
  <c r="H996" i="7"/>
  <c r="I996" i="7" s="1"/>
  <c r="F996" i="7" s="1"/>
  <c r="E996" i="7" s="1"/>
  <c r="D996" i="7" s="1"/>
  <c r="H985" i="7"/>
  <c r="I985" i="7" s="1"/>
  <c r="F985" i="7" s="1"/>
  <c r="E985" i="7" s="1"/>
  <c r="D985" i="7" s="1"/>
  <c r="H986" i="7"/>
  <c r="I986" i="7" s="1"/>
  <c r="F986" i="7" s="1"/>
  <c r="H987" i="7"/>
  <c r="I987" i="7" s="1"/>
  <c r="F987" i="7" s="1"/>
  <c r="H988" i="7"/>
  <c r="I988" i="7" s="1"/>
  <c r="F988" i="7" s="1"/>
  <c r="H989" i="7"/>
  <c r="I989" i="7" s="1"/>
  <c r="F989" i="7" s="1"/>
  <c r="H990" i="7"/>
  <c r="I990" i="7" s="1"/>
  <c r="F990" i="7" s="1"/>
  <c r="H991" i="7"/>
  <c r="I991" i="7" s="1"/>
  <c r="F991" i="7" s="1"/>
  <c r="H992" i="7"/>
  <c r="I992" i="7" s="1"/>
  <c r="F992" i="7" s="1"/>
  <c r="H993" i="7"/>
  <c r="I993" i="7" s="1"/>
  <c r="F993" i="7" s="1"/>
  <c r="H968" i="7"/>
  <c r="I968" i="7" s="1"/>
  <c r="F968" i="7" s="1"/>
  <c r="H969" i="7"/>
  <c r="I969" i="7" s="1"/>
  <c r="F969" i="7" s="1"/>
  <c r="H970" i="7"/>
  <c r="I970" i="7" s="1"/>
  <c r="F970" i="7" s="1"/>
  <c r="H971" i="7"/>
  <c r="I971" i="7" s="1"/>
  <c r="F971" i="7" s="1"/>
  <c r="H972" i="7"/>
  <c r="I972" i="7" s="1"/>
  <c r="F972" i="7" s="1"/>
  <c r="H973" i="7"/>
  <c r="I973" i="7" s="1"/>
  <c r="F973" i="7" s="1"/>
  <c r="H974" i="7"/>
  <c r="I974" i="7" s="1"/>
  <c r="F974" i="7" s="1"/>
  <c r="H975" i="7"/>
  <c r="I975" i="7" s="1"/>
  <c r="F975" i="7" s="1"/>
  <c r="H976" i="7"/>
  <c r="I976" i="7" s="1"/>
  <c r="F976" i="7" s="1"/>
  <c r="H977" i="7"/>
  <c r="I977" i="7" s="1"/>
  <c r="F977" i="7" s="1"/>
  <c r="H978" i="7"/>
  <c r="I978" i="7" s="1"/>
  <c r="F978" i="7" s="1"/>
  <c r="H979" i="7"/>
  <c r="I979" i="7" s="1"/>
  <c r="F979" i="7" s="1"/>
  <c r="H980" i="7"/>
  <c r="I980" i="7" s="1"/>
  <c r="F980" i="7" s="1"/>
  <c r="H981" i="7"/>
  <c r="I981" i="7" s="1"/>
  <c r="F981" i="7" s="1"/>
  <c r="H982" i="7"/>
  <c r="I982" i="7" s="1"/>
  <c r="F982" i="7" s="1"/>
  <c r="H983" i="7"/>
  <c r="I983" i="7" s="1"/>
  <c r="H984" i="7"/>
  <c r="I984" i="7" s="1"/>
  <c r="F984" i="7" s="1"/>
  <c r="H967" i="7"/>
  <c r="I967" i="7" s="1"/>
  <c r="F967" i="7" s="1"/>
  <c r="E967" i="7" s="1"/>
  <c r="D967" i="7" s="1"/>
  <c r="H964" i="7"/>
  <c r="I964" i="7" s="1"/>
  <c r="F964" i="7" s="1"/>
  <c r="E964" i="7" s="1"/>
  <c r="D964" i="7" s="1"/>
  <c r="H963" i="7"/>
  <c r="I963" i="7" s="1"/>
  <c r="F963" i="7" s="1"/>
  <c r="E963" i="7" s="1"/>
  <c r="D963" i="7" s="1"/>
  <c r="H960" i="7"/>
  <c r="I960" i="7" s="1"/>
  <c r="F960" i="7" s="1"/>
  <c r="H961" i="7"/>
  <c r="I961" i="7" s="1"/>
  <c r="F961" i="7" s="1"/>
  <c r="H959" i="7"/>
  <c r="I959" i="7" s="1"/>
  <c r="F959" i="7" s="1"/>
  <c r="E959" i="7" s="1"/>
  <c r="D959" i="7" s="1"/>
  <c r="H957" i="7"/>
  <c r="I957" i="7" s="1"/>
  <c r="F957" i="7" s="1"/>
  <c r="E957" i="7" s="1"/>
  <c r="D957" i="7" s="1"/>
  <c r="H956" i="7"/>
  <c r="I956" i="7" s="1"/>
  <c r="F956" i="7" s="1"/>
  <c r="E956" i="7" s="1"/>
  <c r="D956" i="7" s="1"/>
  <c r="H950" i="7"/>
  <c r="I950" i="7" s="1"/>
  <c r="F950" i="7" s="1"/>
  <c r="H951" i="7"/>
  <c r="I951" i="7" s="1"/>
  <c r="F951" i="7" s="1"/>
  <c r="H952" i="7"/>
  <c r="I952" i="7" s="1"/>
  <c r="F952" i="7" s="1"/>
  <c r="H953" i="7"/>
  <c r="I953" i="7" s="1"/>
  <c r="F953" i="7" s="1"/>
  <c r="H954" i="7"/>
  <c r="I954" i="7" s="1"/>
  <c r="F954" i="7" s="1"/>
  <c r="H949" i="7"/>
  <c r="I949" i="7" s="1"/>
  <c r="F949" i="7" s="1"/>
  <c r="E949" i="7" s="1"/>
  <c r="D949" i="7" s="1"/>
  <c r="H932" i="7"/>
  <c r="I932" i="7" s="1"/>
  <c r="F932" i="7" s="1"/>
  <c r="H933" i="7"/>
  <c r="I933" i="7" s="1"/>
  <c r="F933" i="7" s="1"/>
  <c r="H934" i="7"/>
  <c r="I934" i="7" s="1"/>
  <c r="F934" i="7" s="1"/>
  <c r="H935" i="7"/>
  <c r="I935" i="7" s="1"/>
  <c r="F935" i="7" s="1"/>
  <c r="H936" i="7"/>
  <c r="I936" i="7" s="1"/>
  <c r="F936" i="7" s="1"/>
  <c r="H937" i="7"/>
  <c r="I937" i="7" s="1"/>
  <c r="F937" i="7" s="1"/>
  <c r="H938" i="7"/>
  <c r="I938" i="7" s="1"/>
  <c r="F938" i="7" s="1"/>
  <c r="H939" i="7"/>
  <c r="I939" i="7" s="1"/>
  <c r="F939" i="7" s="1"/>
  <c r="H940" i="7"/>
  <c r="I940" i="7" s="1"/>
  <c r="F940" i="7" s="1"/>
  <c r="H941" i="7"/>
  <c r="I941" i="7" s="1"/>
  <c r="F941" i="7" s="1"/>
  <c r="H942" i="7"/>
  <c r="I942" i="7" s="1"/>
  <c r="F942" i="7" s="1"/>
  <c r="H943" i="7"/>
  <c r="I943" i="7" s="1"/>
  <c r="F943" i="7" s="1"/>
  <c r="H944" i="7"/>
  <c r="I944" i="7" s="1"/>
  <c r="F944" i="7" s="1"/>
  <c r="H945" i="7"/>
  <c r="I945" i="7" s="1"/>
  <c r="F945" i="7" s="1"/>
  <c r="H946" i="7"/>
  <c r="I946" i="7" s="1"/>
  <c r="F946" i="7" s="1"/>
  <c r="H947" i="7"/>
  <c r="I947" i="7" s="1"/>
  <c r="F947" i="7" s="1"/>
  <c r="H931" i="7"/>
  <c r="I931" i="7" s="1"/>
  <c r="F931" i="7" s="1"/>
  <c r="E931" i="7" s="1"/>
  <c r="D931" i="7" s="1"/>
  <c r="H924" i="7"/>
  <c r="I924" i="7" s="1"/>
  <c r="H925" i="7"/>
  <c r="I925" i="7" s="1"/>
  <c r="F925" i="7" s="1"/>
  <c r="H926" i="7"/>
  <c r="H927" i="7"/>
  <c r="I927" i="7" s="1"/>
  <c r="F927" i="7" s="1"/>
  <c r="I926" i="7"/>
  <c r="F926" i="7" s="1"/>
  <c r="H897" i="7"/>
  <c r="I897" i="7" s="1"/>
  <c r="F897" i="7" s="1"/>
  <c r="H898" i="7"/>
  <c r="I898" i="7" s="1"/>
  <c r="F898" i="7" s="1"/>
  <c r="E898" i="7" s="1"/>
  <c r="H899" i="7"/>
  <c r="I899" i="7" s="1"/>
  <c r="F899" i="7" s="1"/>
  <c r="H900" i="7"/>
  <c r="I900" i="7" s="1"/>
  <c r="F900" i="7" s="1"/>
  <c r="H901" i="7"/>
  <c r="I901" i="7" s="1"/>
  <c r="F901" i="7" s="1"/>
  <c r="H902" i="7"/>
  <c r="I902" i="7" s="1"/>
  <c r="F902" i="7" s="1"/>
  <c r="E902" i="7" s="1"/>
  <c r="H903" i="7"/>
  <c r="I903" i="7" s="1"/>
  <c r="F903" i="7" s="1"/>
  <c r="H904" i="7"/>
  <c r="I904" i="7" s="1"/>
  <c r="F904" i="7" s="1"/>
  <c r="H905" i="7"/>
  <c r="I905" i="7" s="1"/>
  <c r="F905" i="7" s="1"/>
  <c r="H906" i="7"/>
  <c r="I906" i="7" s="1"/>
  <c r="F906" i="7" s="1"/>
  <c r="E906" i="7" s="1"/>
  <c r="H907" i="7"/>
  <c r="I907" i="7" s="1"/>
  <c r="F907" i="7" s="1"/>
  <c r="H908" i="7"/>
  <c r="I908" i="7" s="1"/>
  <c r="F908" i="7" s="1"/>
  <c r="H909" i="7"/>
  <c r="I909" i="7" s="1"/>
  <c r="F909" i="7" s="1"/>
  <c r="H910" i="7"/>
  <c r="I910" i="7" s="1"/>
  <c r="F910" i="7" s="1"/>
  <c r="H911" i="7"/>
  <c r="I911" i="7" s="1"/>
  <c r="F911" i="7" s="1"/>
  <c r="H912" i="7"/>
  <c r="I912" i="7" s="1"/>
  <c r="F912" i="7" s="1"/>
  <c r="H913" i="7"/>
  <c r="I913" i="7" s="1"/>
  <c r="H914" i="7"/>
  <c r="I914" i="7" s="1"/>
  <c r="F914" i="7" s="1"/>
  <c r="H915" i="7"/>
  <c r="I915" i="7" s="1"/>
  <c r="H916" i="7"/>
  <c r="I916" i="7" s="1"/>
  <c r="F916" i="7" s="1"/>
  <c r="H917" i="7"/>
  <c r="I917" i="7" s="1"/>
  <c r="F917" i="7" s="1"/>
  <c r="H918" i="7"/>
  <c r="I918" i="7" s="1"/>
  <c r="F918" i="7" s="1"/>
  <c r="H919" i="7"/>
  <c r="I919" i="7" s="1"/>
  <c r="F919" i="7" s="1"/>
  <c r="H920" i="7"/>
  <c r="I920" i="7" s="1"/>
  <c r="F920" i="7" s="1"/>
  <c r="H921" i="7"/>
  <c r="I921" i="7" s="1"/>
  <c r="F921" i="7" s="1"/>
  <c r="H922" i="7"/>
  <c r="I922" i="7" s="1"/>
  <c r="F922" i="7" s="1"/>
  <c r="H923" i="7"/>
  <c r="I923" i="7" s="1"/>
  <c r="F923" i="7" s="1"/>
  <c r="H884" i="7"/>
  <c r="I884" i="7" s="1"/>
  <c r="F884" i="7" s="1"/>
  <c r="H885" i="7"/>
  <c r="I885" i="7" s="1"/>
  <c r="F885" i="7" s="1"/>
  <c r="H886" i="7"/>
  <c r="I886" i="7" s="1"/>
  <c r="F886" i="7" s="1"/>
  <c r="H887" i="7"/>
  <c r="I887" i="7" s="1"/>
  <c r="F887" i="7" s="1"/>
  <c r="H888" i="7"/>
  <c r="I888" i="7" s="1"/>
  <c r="F888" i="7" s="1"/>
  <c r="H889" i="7"/>
  <c r="I889" i="7" s="1"/>
  <c r="F889" i="7" s="1"/>
  <c r="H890" i="7"/>
  <c r="I890" i="7" s="1"/>
  <c r="F890" i="7" s="1"/>
  <c r="H891" i="7"/>
  <c r="I891" i="7" s="1"/>
  <c r="F891" i="7" s="1"/>
  <c r="H892" i="7"/>
  <c r="I892" i="7" s="1"/>
  <c r="F892" i="7" s="1"/>
  <c r="H893" i="7"/>
  <c r="I893" i="7" s="1"/>
  <c r="F893" i="7" s="1"/>
  <c r="H894" i="7"/>
  <c r="I894" i="7" s="1"/>
  <c r="F894" i="7" s="1"/>
  <c r="H895" i="7"/>
  <c r="I895" i="7" s="1"/>
  <c r="H896" i="7"/>
  <c r="I896" i="7" s="1"/>
  <c r="F896" i="7" s="1"/>
  <c r="H862" i="7"/>
  <c r="I862" i="7" s="1"/>
  <c r="F862" i="7" s="1"/>
  <c r="H863" i="7"/>
  <c r="I863" i="7" s="1"/>
  <c r="F863" i="7" s="1"/>
  <c r="H864" i="7"/>
  <c r="I864" i="7" s="1"/>
  <c r="F864" i="7" s="1"/>
  <c r="H865" i="7"/>
  <c r="I865" i="7" s="1"/>
  <c r="H866" i="7"/>
  <c r="I866" i="7" s="1"/>
  <c r="F866" i="7" s="1"/>
  <c r="H867" i="7"/>
  <c r="I867" i="7" s="1"/>
  <c r="F867" i="7" s="1"/>
  <c r="H868" i="7"/>
  <c r="I868" i="7" s="1"/>
  <c r="F868" i="7" s="1"/>
  <c r="H869" i="7"/>
  <c r="I869" i="7" s="1"/>
  <c r="F869" i="7" s="1"/>
  <c r="H870" i="7"/>
  <c r="I870" i="7" s="1"/>
  <c r="F870" i="7" s="1"/>
  <c r="H871" i="7"/>
  <c r="I871" i="7" s="1"/>
  <c r="F871" i="7" s="1"/>
  <c r="H872" i="7"/>
  <c r="I872" i="7" s="1"/>
  <c r="F872" i="7" s="1"/>
  <c r="H873" i="7"/>
  <c r="I873" i="7" s="1"/>
  <c r="H874" i="7"/>
  <c r="I874" i="7" s="1"/>
  <c r="H875" i="7"/>
  <c r="I875" i="7" s="1"/>
  <c r="F875" i="7" s="1"/>
  <c r="H876" i="7"/>
  <c r="I876" i="7" s="1"/>
  <c r="F876" i="7" s="1"/>
  <c r="H877" i="7"/>
  <c r="I877" i="7" s="1"/>
  <c r="F877" i="7" s="1"/>
  <c r="H878" i="7"/>
  <c r="I878" i="7" s="1"/>
  <c r="F878" i="7" s="1"/>
  <c r="H879" i="7"/>
  <c r="I879" i="7" s="1"/>
  <c r="F879" i="7" s="1"/>
  <c r="H880" i="7"/>
  <c r="I880" i="7" s="1"/>
  <c r="H881" i="7"/>
  <c r="I881" i="7" s="1"/>
  <c r="F881" i="7" s="1"/>
  <c r="H882" i="7"/>
  <c r="I882" i="7" s="1"/>
  <c r="F882" i="7" s="1"/>
  <c r="H883" i="7"/>
  <c r="I883" i="7" s="1"/>
  <c r="F883" i="7" s="1"/>
  <c r="H861" i="7"/>
  <c r="I861" i="7" s="1"/>
  <c r="F861" i="7" s="1"/>
  <c r="E861" i="7" s="1"/>
  <c r="D861" i="7" s="1"/>
  <c r="H846" i="7"/>
  <c r="I846" i="7" s="1"/>
  <c r="F846" i="7" s="1"/>
  <c r="H847" i="7"/>
  <c r="I847" i="7" s="1"/>
  <c r="F847" i="7" s="1"/>
  <c r="H848" i="7"/>
  <c r="I848" i="7" s="1"/>
  <c r="F848" i="7" s="1"/>
  <c r="H849" i="7"/>
  <c r="I849" i="7" s="1"/>
  <c r="F849" i="7" s="1"/>
  <c r="H850" i="7"/>
  <c r="I850" i="7" s="1"/>
  <c r="F850" i="7" s="1"/>
  <c r="H851" i="7"/>
  <c r="I851" i="7" s="1"/>
  <c r="H852" i="7"/>
  <c r="I852" i="7" s="1"/>
  <c r="F852" i="7" s="1"/>
  <c r="H853" i="7"/>
  <c r="I853" i="7" s="1"/>
  <c r="F853" i="7" s="1"/>
  <c r="H854" i="7"/>
  <c r="I854" i="7" s="1"/>
  <c r="F854" i="7" s="1"/>
  <c r="H826" i="7"/>
  <c r="I826" i="7" s="1"/>
  <c r="F826" i="7" s="1"/>
  <c r="H827" i="7"/>
  <c r="I827" i="7" s="1"/>
  <c r="F827" i="7" s="1"/>
  <c r="H828" i="7"/>
  <c r="I828" i="7" s="1"/>
  <c r="F828" i="7" s="1"/>
  <c r="H829" i="7"/>
  <c r="I829" i="7" s="1"/>
  <c r="F829" i="7" s="1"/>
  <c r="H830" i="7"/>
  <c r="I830" i="7" s="1"/>
  <c r="F830" i="7" s="1"/>
  <c r="H831" i="7"/>
  <c r="I831" i="7" s="1"/>
  <c r="H832" i="7"/>
  <c r="I832" i="7" s="1"/>
  <c r="F832" i="7" s="1"/>
  <c r="H833" i="7"/>
  <c r="I833" i="7" s="1"/>
  <c r="F833" i="7" s="1"/>
  <c r="H834" i="7"/>
  <c r="I834" i="7" s="1"/>
  <c r="F834" i="7" s="1"/>
  <c r="H835" i="7"/>
  <c r="I835" i="7" s="1"/>
  <c r="F835" i="7" s="1"/>
  <c r="H836" i="7"/>
  <c r="I836" i="7" s="1"/>
  <c r="F836" i="7" s="1"/>
  <c r="H837" i="7"/>
  <c r="I837" i="7" s="1"/>
  <c r="H838" i="7"/>
  <c r="I838" i="7" s="1"/>
  <c r="F838" i="7" s="1"/>
  <c r="H839" i="7"/>
  <c r="I839" i="7" s="1"/>
  <c r="F839" i="7" s="1"/>
  <c r="H840" i="7"/>
  <c r="I840" i="7" s="1"/>
  <c r="F840" i="7" s="1"/>
  <c r="H841" i="7"/>
  <c r="I841" i="7" s="1"/>
  <c r="F841" i="7" s="1"/>
  <c r="H842" i="7"/>
  <c r="I842" i="7" s="1"/>
  <c r="F842" i="7" s="1"/>
  <c r="H843" i="7"/>
  <c r="I843" i="7" s="1"/>
  <c r="F843" i="7" s="1"/>
  <c r="H844" i="7"/>
  <c r="I844" i="7" s="1"/>
  <c r="F844" i="7" s="1"/>
  <c r="H845" i="7"/>
  <c r="I845" i="7" s="1"/>
  <c r="F845" i="7" s="1"/>
  <c r="H825" i="7"/>
  <c r="I825" i="7" s="1"/>
  <c r="H822" i="7"/>
  <c r="I822" i="7" s="1"/>
  <c r="F822" i="7" s="1"/>
  <c r="E822" i="7" s="1"/>
  <c r="D822" i="7" s="1"/>
  <c r="H823" i="7"/>
  <c r="I823" i="7" s="1"/>
  <c r="F823" i="7" s="1"/>
  <c r="H793" i="7"/>
  <c r="H794" i="7"/>
  <c r="I794" i="7" s="1"/>
  <c r="F794" i="7" s="1"/>
  <c r="H795" i="7"/>
  <c r="I795" i="7" s="1"/>
  <c r="H796" i="7"/>
  <c r="I796" i="7" s="1"/>
  <c r="F796" i="7" s="1"/>
  <c r="H797" i="7"/>
  <c r="I797" i="7" s="1"/>
  <c r="F797" i="7" s="1"/>
  <c r="H798" i="7"/>
  <c r="I798" i="7" s="1"/>
  <c r="F798" i="7" s="1"/>
  <c r="H799" i="7"/>
  <c r="I799" i="7" s="1"/>
  <c r="F799" i="7" s="1"/>
  <c r="E799" i="7" s="1"/>
  <c r="D799" i="7" s="1"/>
  <c r="H800" i="7"/>
  <c r="I800" i="7" s="1"/>
  <c r="F800" i="7" s="1"/>
  <c r="E800" i="7" s="1"/>
  <c r="H801" i="7"/>
  <c r="I801" i="7" s="1"/>
  <c r="H802" i="7"/>
  <c r="I802" i="7" s="1"/>
  <c r="F802" i="7" s="1"/>
  <c r="E802" i="7" s="1"/>
  <c r="H803" i="7"/>
  <c r="I803" i="7" s="1"/>
  <c r="F803" i="7" s="1"/>
  <c r="H804" i="7"/>
  <c r="I804" i="7" s="1"/>
  <c r="F804" i="7" s="1"/>
  <c r="H805" i="7"/>
  <c r="I805" i="7" s="1"/>
  <c r="F805" i="7" s="1"/>
  <c r="H806" i="7"/>
  <c r="I806" i="7" s="1"/>
  <c r="F806" i="7" s="1"/>
  <c r="E806" i="7" s="1"/>
  <c r="H807" i="7"/>
  <c r="I807" i="7" s="1"/>
  <c r="F807" i="7" s="1"/>
  <c r="H808" i="7"/>
  <c r="I808" i="7" s="1"/>
  <c r="F808" i="7" s="1"/>
  <c r="H809" i="7"/>
  <c r="I809" i="7" s="1"/>
  <c r="F809" i="7" s="1"/>
  <c r="H810" i="7"/>
  <c r="I810" i="7" s="1"/>
  <c r="F810" i="7" s="1"/>
  <c r="E810" i="7" s="1"/>
  <c r="H811" i="7"/>
  <c r="I811" i="7" s="1"/>
  <c r="F811" i="7" s="1"/>
  <c r="H812" i="7"/>
  <c r="I812" i="7" s="1"/>
  <c r="F812" i="7" s="1"/>
  <c r="H813" i="7"/>
  <c r="I813" i="7" s="1"/>
  <c r="H814" i="7"/>
  <c r="I814" i="7" s="1"/>
  <c r="F814" i="7" s="1"/>
  <c r="E814" i="7" s="1"/>
  <c r="H815" i="7"/>
  <c r="I815" i="7" s="1"/>
  <c r="F815" i="7" s="1"/>
  <c r="H816" i="7"/>
  <c r="I816" i="7" s="1"/>
  <c r="F816" i="7" s="1"/>
  <c r="H817" i="7"/>
  <c r="I817" i="7" s="1"/>
  <c r="F817" i="7" s="1"/>
  <c r="H818" i="7"/>
  <c r="I818" i="7" s="1"/>
  <c r="H819" i="7"/>
  <c r="I819" i="7" s="1"/>
  <c r="F819" i="7" s="1"/>
  <c r="H820" i="7"/>
  <c r="I820" i="7" s="1"/>
  <c r="F820" i="7" s="1"/>
  <c r="H821" i="7"/>
  <c r="I821" i="7" s="1"/>
  <c r="F821" i="7" s="1"/>
  <c r="I793" i="7"/>
  <c r="F793" i="7" s="1"/>
  <c r="H777" i="7"/>
  <c r="I777" i="7" s="1"/>
  <c r="F777" i="7" s="1"/>
  <c r="E777" i="7" s="1"/>
  <c r="D777" i="7" s="1"/>
  <c r="H778" i="7"/>
  <c r="I778" i="7" s="1"/>
  <c r="F778" i="7" s="1"/>
  <c r="H779" i="7"/>
  <c r="I779" i="7" s="1"/>
  <c r="F779" i="7" s="1"/>
  <c r="H780" i="7"/>
  <c r="I780" i="7" s="1"/>
  <c r="F780" i="7" s="1"/>
  <c r="H781" i="7"/>
  <c r="I781" i="7" s="1"/>
  <c r="H782" i="7"/>
  <c r="I782" i="7" s="1"/>
  <c r="F782" i="7" s="1"/>
  <c r="H783" i="7"/>
  <c r="I783" i="7" s="1"/>
  <c r="F783" i="7" s="1"/>
  <c r="H784" i="7"/>
  <c r="I784" i="7" s="1"/>
  <c r="F784" i="7" s="1"/>
  <c r="H785" i="7"/>
  <c r="I785" i="7" s="1"/>
  <c r="F785" i="7" s="1"/>
  <c r="H786" i="7"/>
  <c r="I786" i="7" s="1"/>
  <c r="F786" i="7" s="1"/>
  <c r="H787" i="7"/>
  <c r="I787" i="7" s="1"/>
  <c r="F787" i="7" s="1"/>
  <c r="H788" i="7"/>
  <c r="I788" i="7" s="1"/>
  <c r="F788" i="7" s="1"/>
  <c r="H789" i="7"/>
  <c r="I789" i="7" s="1"/>
  <c r="H790" i="7"/>
  <c r="I790" i="7" s="1"/>
  <c r="F790" i="7" s="1"/>
  <c r="H791" i="7"/>
  <c r="I791" i="7" s="1"/>
  <c r="F791" i="7" s="1"/>
  <c r="H792" i="7"/>
  <c r="I792" i="7" s="1"/>
  <c r="F792" i="7" s="1"/>
  <c r="H754" i="7"/>
  <c r="I754" i="7" s="1"/>
  <c r="F754" i="7" s="1"/>
  <c r="H755" i="7"/>
  <c r="I755" i="7" s="1"/>
  <c r="F755" i="7" s="1"/>
  <c r="H756" i="7"/>
  <c r="I756" i="7" s="1"/>
  <c r="H757" i="7"/>
  <c r="I757" i="7" s="1"/>
  <c r="F757" i="7" s="1"/>
  <c r="H758" i="7"/>
  <c r="I758" i="7" s="1"/>
  <c r="F758" i="7" s="1"/>
  <c r="H759" i="7"/>
  <c r="I759" i="7" s="1"/>
  <c r="H760" i="7"/>
  <c r="I760" i="7" s="1"/>
  <c r="F760" i="7" s="1"/>
  <c r="H761" i="7"/>
  <c r="I761" i="7" s="1"/>
  <c r="F761" i="7" s="1"/>
  <c r="H762" i="7"/>
  <c r="I762" i="7" s="1"/>
  <c r="F762" i="7" s="1"/>
  <c r="H763" i="7"/>
  <c r="I763" i="7" s="1"/>
  <c r="F763" i="7" s="1"/>
  <c r="H764" i="7"/>
  <c r="I764" i="7" s="1"/>
  <c r="H765" i="7"/>
  <c r="I765" i="7" s="1"/>
  <c r="F765" i="7" s="1"/>
  <c r="H766" i="7"/>
  <c r="I766" i="7" s="1"/>
  <c r="F766" i="7" s="1"/>
  <c r="H767" i="7"/>
  <c r="I767" i="7" s="1"/>
  <c r="F767" i="7" s="1"/>
  <c r="H768" i="7"/>
  <c r="I768" i="7" s="1"/>
  <c r="F768" i="7" s="1"/>
  <c r="H769" i="7"/>
  <c r="I769" i="7" s="1"/>
  <c r="F769" i="7" s="1"/>
  <c r="H770" i="7"/>
  <c r="I770" i="7" s="1"/>
  <c r="F770" i="7" s="1"/>
  <c r="H771" i="7"/>
  <c r="I771" i="7" s="1"/>
  <c r="F771" i="7" s="1"/>
  <c r="E771" i="7" s="1"/>
  <c r="H772" i="7"/>
  <c r="I772" i="7" s="1"/>
  <c r="F772" i="7" s="1"/>
  <c r="H773" i="7"/>
  <c r="I773" i="7" s="1"/>
  <c r="F773" i="7" s="1"/>
  <c r="H774" i="7"/>
  <c r="I774" i="7" s="1"/>
  <c r="F774" i="7" s="1"/>
  <c r="H775" i="7"/>
  <c r="I775" i="7" s="1"/>
  <c r="F775" i="7" s="1"/>
  <c r="E775" i="7" s="1"/>
  <c r="H776" i="7"/>
  <c r="I776" i="7" s="1"/>
  <c r="F776" i="7" s="1"/>
  <c r="H730" i="7"/>
  <c r="I730" i="7" s="1"/>
  <c r="F730" i="7" s="1"/>
  <c r="H731" i="7"/>
  <c r="I731" i="7" s="1"/>
  <c r="F731" i="7" s="1"/>
  <c r="H732" i="7"/>
  <c r="I732" i="7" s="1"/>
  <c r="F732" i="7" s="1"/>
  <c r="H733" i="7"/>
  <c r="I733" i="7" s="1"/>
  <c r="F733" i="7" s="1"/>
  <c r="H734" i="7"/>
  <c r="I734" i="7" s="1"/>
  <c r="F734" i="7" s="1"/>
  <c r="H735" i="7"/>
  <c r="I735" i="7" s="1"/>
  <c r="F735" i="7" s="1"/>
  <c r="H736" i="7"/>
  <c r="I736" i="7" s="1"/>
  <c r="F736" i="7" s="1"/>
  <c r="H737" i="7"/>
  <c r="I737" i="7" s="1"/>
  <c r="F737" i="7" s="1"/>
  <c r="H738" i="7"/>
  <c r="I738" i="7" s="1"/>
  <c r="F738" i="7" s="1"/>
  <c r="H739" i="7"/>
  <c r="I739" i="7" s="1"/>
  <c r="F739" i="7" s="1"/>
  <c r="H740" i="7"/>
  <c r="I740" i="7" s="1"/>
  <c r="F740" i="7" s="1"/>
  <c r="H741" i="7"/>
  <c r="I741" i="7" s="1"/>
  <c r="F741" i="7" s="1"/>
  <c r="H742" i="7"/>
  <c r="I742" i="7" s="1"/>
  <c r="F742" i="7" s="1"/>
  <c r="H743" i="7"/>
  <c r="I743" i="7" s="1"/>
  <c r="H744" i="7"/>
  <c r="I744" i="7" s="1"/>
  <c r="F744" i="7" s="1"/>
  <c r="H745" i="7"/>
  <c r="I745" i="7" s="1"/>
  <c r="F745" i="7" s="1"/>
  <c r="H746" i="7"/>
  <c r="I746" i="7" s="1"/>
  <c r="F746" i="7" s="1"/>
  <c r="H747" i="7"/>
  <c r="I747" i="7" s="1"/>
  <c r="H748" i="7"/>
  <c r="I748" i="7" s="1"/>
  <c r="F748" i="7" s="1"/>
  <c r="H749" i="7"/>
  <c r="I749" i="7" s="1"/>
  <c r="F749" i="7" s="1"/>
  <c r="H750" i="7"/>
  <c r="I750" i="7" s="1"/>
  <c r="H751" i="7"/>
  <c r="I751" i="7" s="1"/>
  <c r="F751" i="7" s="1"/>
  <c r="H752" i="7"/>
  <c r="I752" i="7" s="1"/>
  <c r="F752" i="7" s="1"/>
  <c r="H753" i="7"/>
  <c r="I753" i="7" s="1"/>
  <c r="F753" i="7" s="1"/>
  <c r="H704" i="7"/>
  <c r="I704" i="7" s="1"/>
  <c r="H705" i="7"/>
  <c r="I705" i="7" s="1"/>
  <c r="H706" i="7"/>
  <c r="I706" i="7" s="1"/>
  <c r="H707" i="7"/>
  <c r="I707" i="7" s="1"/>
  <c r="H708" i="7"/>
  <c r="I708" i="7" s="1"/>
  <c r="H709" i="7"/>
  <c r="I709" i="7" s="1"/>
  <c r="H710" i="7"/>
  <c r="I710" i="7" s="1"/>
  <c r="F710" i="7" s="1"/>
  <c r="H711" i="7"/>
  <c r="I711" i="7" s="1"/>
  <c r="F711" i="7" s="1"/>
  <c r="H712" i="7"/>
  <c r="I712" i="7" s="1"/>
  <c r="F712" i="7" s="1"/>
  <c r="H713" i="7"/>
  <c r="I713" i="7" s="1"/>
  <c r="F713" i="7" s="1"/>
  <c r="H714" i="7"/>
  <c r="I714" i="7" s="1"/>
  <c r="F714" i="7" s="1"/>
  <c r="H715" i="7"/>
  <c r="I715" i="7" s="1"/>
  <c r="H716" i="7"/>
  <c r="I716" i="7" s="1"/>
  <c r="F716" i="7" s="1"/>
  <c r="H717" i="7"/>
  <c r="I717" i="7" s="1"/>
  <c r="F717" i="7" s="1"/>
  <c r="H718" i="7"/>
  <c r="I718" i="7" s="1"/>
  <c r="F718" i="7" s="1"/>
  <c r="H719" i="7"/>
  <c r="I719" i="7" s="1"/>
  <c r="H720" i="7"/>
  <c r="I720" i="7" s="1"/>
  <c r="F720" i="7" s="1"/>
  <c r="H721" i="7"/>
  <c r="I721" i="7" s="1"/>
  <c r="F721" i="7" s="1"/>
  <c r="H722" i="7"/>
  <c r="I722" i="7" s="1"/>
  <c r="H723" i="7"/>
  <c r="I723" i="7" s="1"/>
  <c r="F723" i="7" s="1"/>
  <c r="H724" i="7"/>
  <c r="I724" i="7" s="1"/>
  <c r="F724" i="7" s="1"/>
  <c r="H725" i="7"/>
  <c r="I725" i="7" s="1"/>
  <c r="H726" i="7"/>
  <c r="I726" i="7" s="1"/>
  <c r="H727" i="7"/>
  <c r="I727" i="7" s="1"/>
  <c r="H728" i="7"/>
  <c r="I728" i="7" s="1"/>
  <c r="H729" i="7"/>
  <c r="I729" i="7" s="1"/>
  <c r="H682" i="7"/>
  <c r="I682" i="7" s="1"/>
  <c r="F682" i="7" s="1"/>
  <c r="H683" i="7"/>
  <c r="I683" i="7" s="1"/>
  <c r="F683" i="7" s="1"/>
  <c r="H684" i="7"/>
  <c r="I684" i="7" s="1"/>
  <c r="F684" i="7" s="1"/>
  <c r="H685" i="7"/>
  <c r="I685" i="7" s="1"/>
  <c r="F685" i="7" s="1"/>
  <c r="H686" i="7"/>
  <c r="I686" i="7" s="1"/>
  <c r="H687" i="7"/>
  <c r="I687" i="7" s="1"/>
  <c r="F687" i="7" s="1"/>
  <c r="H688" i="7"/>
  <c r="I688" i="7" s="1"/>
  <c r="F688" i="7" s="1"/>
  <c r="H689" i="7"/>
  <c r="I689" i="7" s="1"/>
  <c r="F689" i="7" s="1"/>
  <c r="H690" i="7"/>
  <c r="I690" i="7" s="1"/>
  <c r="F690" i="7" s="1"/>
  <c r="H691" i="7"/>
  <c r="I691" i="7" s="1"/>
  <c r="F691" i="7" s="1"/>
  <c r="H692" i="7"/>
  <c r="I692" i="7" s="1"/>
  <c r="F692" i="7" s="1"/>
  <c r="H693" i="7"/>
  <c r="I693" i="7" s="1"/>
  <c r="F693" i="7" s="1"/>
  <c r="H694" i="7"/>
  <c r="I694" i="7" s="1"/>
  <c r="F694" i="7" s="1"/>
  <c r="H695" i="7"/>
  <c r="I695" i="7" s="1"/>
  <c r="F695" i="7" s="1"/>
  <c r="H696" i="7"/>
  <c r="I696" i="7" s="1"/>
  <c r="F696" i="7" s="1"/>
  <c r="H697" i="7"/>
  <c r="I697" i="7" s="1"/>
  <c r="F697" i="7" s="1"/>
  <c r="H698" i="7"/>
  <c r="I698" i="7" s="1"/>
  <c r="H699" i="7"/>
  <c r="I699" i="7" s="1"/>
  <c r="F699" i="7" s="1"/>
  <c r="H700" i="7"/>
  <c r="I700" i="7" s="1"/>
  <c r="F700" i="7" s="1"/>
  <c r="H701" i="7"/>
  <c r="I701" i="7" s="1"/>
  <c r="F701" i="7" s="1"/>
  <c r="H702" i="7"/>
  <c r="I702" i="7" s="1"/>
  <c r="F702" i="7" s="1"/>
  <c r="H703" i="7"/>
  <c r="I703" i="7" s="1"/>
  <c r="H681" i="7"/>
  <c r="I681" i="7" s="1"/>
  <c r="F681" i="7" s="1"/>
  <c r="E681" i="7" s="1"/>
  <c r="D681" i="7" s="1"/>
  <c r="H677" i="7"/>
  <c r="I677" i="7" s="1"/>
  <c r="F677" i="7" s="1"/>
  <c r="H678" i="7"/>
  <c r="I678" i="7" s="1"/>
  <c r="F678" i="7" s="1"/>
  <c r="H679" i="7"/>
  <c r="I679" i="7" s="1"/>
  <c r="F679" i="7" s="1"/>
  <c r="H652" i="7"/>
  <c r="I652" i="7" s="1"/>
  <c r="H653" i="7"/>
  <c r="I653" i="7" s="1"/>
  <c r="F653" i="7" s="1"/>
  <c r="H654" i="7"/>
  <c r="I654" i="7" s="1"/>
  <c r="F654" i="7" s="1"/>
  <c r="H655" i="7"/>
  <c r="I655" i="7" s="1"/>
  <c r="F655" i="7" s="1"/>
  <c r="H656" i="7"/>
  <c r="I656" i="7" s="1"/>
  <c r="F656" i="7" s="1"/>
  <c r="H657" i="7"/>
  <c r="I657" i="7" s="1"/>
  <c r="F657" i="7" s="1"/>
  <c r="H658" i="7"/>
  <c r="I658" i="7" s="1"/>
  <c r="F658" i="7" s="1"/>
  <c r="H659" i="7"/>
  <c r="I659" i="7" s="1"/>
  <c r="F659" i="7" s="1"/>
  <c r="H660" i="7"/>
  <c r="I660" i="7" s="1"/>
  <c r="H661" i="7"/>
  <c r="I661" i="7" s="1"/>
  <c r="F661" i="7" s="1"/>
  <c r="H662" i="7"/>
  <c r="I662" i="7" s="1"/>
  <c r="F662" i="7" s="1"/>
  <c r="H663" i="7"/>
  <c r="I663" i="7" s="1"/>
  <c r="F663" i="7" s="1"/>
  <c r="H664" i="7"/>
  <c r="I664" i="7" s="1"/>
  <c r="F664" i="7" s="1"/>
  <c r="H665" i="7"/>
  <c r="I665" i="7" s="1"/>
  <c r="F665" i="7" s="1"/>
  <c r="H666" i="7"/>
  <c r="I666" i="7" s="1"/>
  <c r="H667" i="7"/>
  <c r="I667" i="7" s="1"/>
  <c r="F667" i="7" s="1"/>
  <c r="H668" i="7"/>
  <c r="I668" i="7" s="1"/>
  <c r="F668" i="7" s="1"/>
  <c r="H669" i="7"/>
  <c r="I669" i="7" s="1"/>
  <c r="F669" i="7" s="1"/>
  <c r="H670" i="7"/>
  <c r="I670" i="7" s="1"/>
  <c r="F670" i="7" s="1"/>
  <c r="H671" i="7"/>
  <c r="I671" i="7" s="1"/>
  <c r="F671" i="7" s="1"/>
  <c r="H672" i="7"/>
  <c r="I672" i="7" s="1"/>
  <c r="F672" i="7" s="1"/>
  <c r="H673" i="7"/>
  <c r="I673" i="7" s="1"/>
  <c r="F673" i="7" s="1"/>
  <c r="H674" i="7"/>
  <c r="I674" i="7" s="1"/>
  <c r="F674" i="7" s="1"/>
  <c r="H675" i="7"/>
  <c r="I675" i="7" s="1"/>
  <c r="F675" i="7" s="1"/>
  <c r="H676" i="7"/>
  <c r="I676" i="7" s="1"/>
  <c r="H637" i="7"/>
  <c r="I637" i="7" s="1"/>
  <c r="F637" i="7" s="1"/>
  <c r="H638" i="7"/>
  <c r="I638" i="7" s="1"/>
  <c r="F638" i="7" s="1"/>
  <c r="H639" i="7"/>
  <c r="I639" i="7" s="1"/>
  <c r="F639" i="7" s="1"/>
  <c r="H640" i="7"/>
  <c r="I640" i="7" s="1"/>
  <c r="H641" i="7"/>
  <c r="I641" i="7" s="1"/>
  <c r="F641" i="7" s="1"/>
  <c r="H642" i="7"/>
  <c r="I642" i="7" s="1"/>
  <c r="F642" i="7" s="1"/>
  <c r="H643" i="7"/>
  <c r="I643" i="7" s="1"/>
  <c r="F643" i="7" s="1"/>
  <c r="H644" i="7"/>
  <c r="I644" i="7" s="1"/>
  <c r="F644" i="7" s="1"/>
  <c r="H645" i="7"/>
  <c r="I645" i="7" s="1"/>
  <c r="F645" i="7" s="1"/>
  <c r="H646" i="7"/>
  <c r="I646" i="7" s="1"/>
  <c r="F646" i="7" s="1"/>
  <c r="H647" i="7"/>
  <c r="I647" i="7" s="1"/>
  <c r="H648" i="7"/>
  <c r="I648" i="7" s="1"/>
  <c r="F648" i="7" s="1"/>
  <c r="H649" i="7"/>
  <c r="I649" i="7" s="1"/>
  <c r="F649" i="7" s="1"/>
  <c r="H650" i="7"/>
  <c r="I650" i="7" s="1"/>
  <c r="F650" i="7" s="1"/>
  <c r="H651" i="7"/>
  <c r="I651" i="7" s="1"/>
  <c r="F651" i="7" s="1"/>
  <c r="E651" i="7" s="1"/>
  <c r="D651" i="7" s="1"/>
  <c r="H617" i="7"/>
  <c r="I617" i="7" s="1"/>
  <c r="F617" i="7" s="1"/>
  <c r="E617" i="7" s="1"/>
  <c r="D617" i="7" s="1"/>
  <c r="H618" i="7"/>
  <c r="I618" i="7" s="1"/>
  <c r="H619" i="7"/>
  <c r="I619" i="7" s="1"/>
  <c r="F619" i="7" s="1"/>
  <c r="E619" i="7" s="1"/>
  <c r="D619" i="7" s="1"/>
  <c r="H620" i="7"/>
  <c r="I620" i="7" s="1"/>
  <c r="F620" i="7" s="1"/>
  <c r="E620" i="7" s="1"/>
  <c r="D620" i="7" s="1"/>
  <c r="H621" i="7"/>
  <c r="I621" i="7" s="1"/>
  <c r="F621" i="7" s="1"/>
  <c r="E621" i="7" s="1"/>
  <c r="D621" i="7" s="1"/>
  <c r="H622" i="7"/>
  <c r="I622" i="7" s="1"/>
  <c r="F622" i="7" s="1"/>
  <c r="E622" i="7" s="1"/>
  <c r="D622" i="7" s="1"/>
  <c r="H625" i="7"/>
  <c r="I625" i="7" s="1"/>
  <c r="F625" i="7" s="1"/>
  <c r="E625" i="7" s="1"/>
  <c r="D625" i="7" s="1"/>
  <c r="H626" i="7"/>
  <c r="I626" i="7" s="1"/>
  <c r="F626" i="7" s="1"/>
  <c r="E626" i="7" s="1"/>
  <c r="D626" i="7" s="1"/>
  <c r="H627" i="7"/>
  <c r="I627" i="7" s="1"/>
  <c r="H628" i="7"/>
  <c r="I628" i="7" s="1"/>
  <c r="F628" i="7" s="1"/>
  <c r="E628" i="7" s="1"/>
  <c r="D628" i="7" s="1"/>
  <c r="H629" i="7"/>
  <c r="I629" i="7" s="1"/>
  <c r="F629" i="7" s="1"/>
  <c r="E629" i="7" s="1"/>
  <c r="D629" i="7" s="1"/>
  <c r="H630" i="7"/>
  <c r="I630" i="7" s="1"/>
  <c r="F630" i="7" s="1"/>
  <c r="E630" i="7" s="1"/>
  <c r="D630" i="7" s="1"/>
  <c r="H631" i="7"/>
  <c r="I631" i="7" s="1"/>
  <c r="F631" i="7" s="1"/>
  <c r="E631" i="7" s="1"/>
  <c r="D631" i="7" s="1"/>
  <c r="H632" i="7"/>
  <c r="I632" i="7" s="1"/>
  <c r="F632" i="7" s="1"/>
  <c r="E632" i="7" s="1"/>
  <c r="D632" i="7" s="1"/>
  <c r="H633" i="7"/>
  <c r="I633" i="7" s="1"/>
  <c r="H634" i="7"/>
  <c r="I634" i="7" s="1"/>
  <c r="F634" i="7" s="1"/>
  <c r="E634" i="7" s="1"/>
  <c r="D634" i="7" s="1"/>
  <c r="H635" i="7"/>
  <c r="I635" i="7" s="1"/>
  <c r="F635" i="7" s="1"/>
  <c r="E635" i="7" s="1"/>
  <c r="D635" i="7" s="1"/>
  <c r="H636" i="7"/>
  <c r="I636" i="7" s="1"/>
  <c r="F636" i="7" s="1"/>
  <c r="E636" i="7" s="1"/>
  <c r="D636" i="7" s="1"/>
  <c r="H584" i="7"/>
  <c r="I584" i="7" s="1"/>
  <c r="F584" i="7" s="1"/>
  <c r="H585" i="7"/>
  <c r="I585" i="7" s="1"/>
  <c r="F585" i="7" s="1"/>
  <c r="H586" i="7"/>
  <c r="I586" i="7" s="1"/>
  <c r="F586" i="7" s="1"/>
  <c r="H587" i="7"/>
  <c r="I587" i="7" s="1"/>
  <c r="F587" i="7" s="1"/>
  <c r="H588" i="7"/>
  <c r="I588" i="7" s="1"/>
  <c r="F588" i="7" s="1"/>
  <c r="H589" i="7"/>
  <c r="I589" i="7" s="1"/>
  <c r="F589" i="7" s="1"/>
  <c r="H590" i="7"/>
  <c r="I590" i="7" s="1"/>
  <c r="F590" i="7" s="1"/>
  <c r="H591" i="7"/>
  <c r="I591" i="7" s="1"/>
  <c r="F591" i="7" s="1"/>
  <c r="H592" i="7"/>
  <c r="I592" i="7" s="1"/>
  <c r="F592" i="7" s="1"/>
  <c r="H593" i="7"/>
  <c r="I593" i="7" s="1"/>
  <c r="F593" i="7" s="1"/>
  <c r="H594" i="7"/>
  <c r="I594" i="7" s="1"/>
  <c r="F594" i="7" s="1"/>
  <c r="H595" i="7"/>
  <c r="I595" i="7" s="1"/>
  <c r="F595" i="7" s="1"/>
  <c r="H596" i="7"/>
  <c r="I596" i="7" s="1"/>
  <c r="F596" i="7" s="1"/>
  <c r="H597" i="7"/>
  <c r="I597" i="7" s="1"/>
  <c r="F597" i="7" s="1"/>
  <c r="H598" i="7"/>
  <c r="I598" i="7" s="1"/>
  <c r="F598" i="7" s="1"/>
  <c r="H599" i="7"/>
  <c r="I599" i="7" s="1"/>
  <c r="F599" i="7" s="1"/>
  <c r="H583" i="7"/>
  <c r="I583" i="7" s="1"/>
  <c r="F583" i="7" s="1"/>
  <c r="E583" i="7" s="1"/>
  <c r="D583" i="7" s="1"/>
  <c r="I540" i="7"/>
  <c r="I541" i="7"/>
  <c r="F541" i="7" s="1"/>
  <c r="I542" i="7"/>
  <c r="F542" i="7" s="1"/>
  <c r="I463" i="7"/>
  <c r="I464" i="7"/>
  <c r="F464" i="7" s="1"/>
  <c r="H537" i="7"/>
  <c r="I537" i="7" s="1"/>
  <c r="H538" i="7"/>
  <c r="I538" i="7" s="1"/>
  <c r="F538" i="7" s="1"/>
  <c r="H539" i="7"/>
  <c r="I539" i="7" s="1"/>
  <c r="F539" i="7" s="1"/>
  <c r="H465" i="7"/>
  <c r="I465" i="7" s="1"/>
  <c r="F465" i="7" s="1"/>
  <c r="H466" i="7"/>
  <c r="I466" i="7" s="1"/>
  <c r="F466" i="7" s="1"/>
  <c r="H467" i="7"/>
  <c r="I467" i="7" s="1"/>
  <c r="F467" i="7" s="1"/>
  <c r="H543" i="7"/>
  <c r="I543" i="7" s="1"/>
  <c r="H544" i="7"/>
  <c r="I544" i="7" s="1"/>
  <c r="F544" i="7" s="1"/>
  <c r="H545" i="7"/>
  <c r="I545" i="7" s="1"/>
  <c r="F545" i="7" s="1"/>
  <c r="H559" i="7"/>
  <c r="I559" i="7" s="1"/>
  <c r="H560" i="7"/>
  <c r="I560" i="7" s="1"/>
  <c r="F560" i="7" s="1"/>
  <c r="H561" i="7"/>
  <c r="I561" i="7" s="1"/>
  <c r="F561" i="7" s="1"/>
  <c r="H562" i="7"/>
  <c r="I562" i="7" s="1"/>
  <c r="F562" i="7" s="1"/>
  <c r="H563" i="7"/>
  <c r="I563" i="7" s="1"/>
  <c r="H564" i="7"/>
  <c r="I564" i="7" s="1"/>
  <c r="F564" i="7" s="1"/>
  <c r="H565" i="7"/>
  <c r="I565" i="7" s="1"/>
  <c r="F565" i="7" s="1"/>
  <c r="H566" i="7"/>
  <c r="I566" i="7" s="1"/>
  <c r="F566" i="7" s="1"/>
  <c r="H567" i="7"/>
  <c r="I567" i="7" s="1"/>
  <c r="H568" i="7"/>
  <c r="I568" i="7" s="1"/>
  <c r="F568" i="7" s="1"/>
  <c r="H569" i="7"/>
  <c r="I569" i="7" s="1"/>
  <c r="F569" i="7" s="1"/>
  <c r="H570" i="7"/>
  <c r="I570" i="7" s="1"/>
  <c r="F570" i="7" s="1"/>
  <c r="H455" i="7"/>
  <c r="H456" i="7"/>
  <c r="I456" i="7" s="1"/>
  <c r="F456" i="7" s="1"/>
  <c r="H457" i="7"/>
  <c r="I457" i="7" s="1"/>
  <c r="H458" i="7"/>
  <c r="I458" i="7" s="1"/>
  <c r="F458" i="7" s="1"/>
  <c r="H459" i="7"/>
  <c r="I459" i="7" s="1"/>
  <c r="F459" i="7" s="1"/>
  <c r="H460" i="7"/>
  <c r="I460" i="7" s="1"/>
  <c r="F460" i="7" s="1"/>
  <c r="H461" i="7"/>
  <c r="I461" i="7" s="1"/>
  <c r="F461" i="7" s="1"/>
  <c r="H462" i="7"/>
  <c r="I462" i="7" s="1"/>
  <c r="F462" i="7" s="1"/>
  <c r="H521" i="7"/>
  <c r="I521" i="7" s="1"/>
  <c r="F521" i="7" s="1"/>
  <c r="H522" i="7"/>
  <c r="I522" i="7" s="1"/>
  <c r="H523" i="7"/>
  <c r="I523" i="7" s="1"/>
  <c r="F523" i="7" s="1"/>
  <c r="H524" i="7"/>
  <c r="I524" i="7" s="1"/>
  <c r="F524" i="7" s="1"/>
  <c r="H525" i="7"/>
  <c r="I525" i="7" s="1"/>
  <c r="F525" i="7" s="1"/>
  <c r="H526" i="7"/>
  <c r="I526" i="7" s="1"/>
  <c r="H527" i="7"/>
  <c r="I527" i="7" s="1"/>
  <c r="F527" i="7" s="1"/>
  <c r="H528" i="7"/>
  <c r="I528" i="7" s="1"/>
  <c r="F528" i="7" s="1"/>
  <c r="H529" i="7"/>
  <c r="I529" i="7" s="1"/>
  <c r="H530" i="7"/>
  <c r="I530" i="7" s="1"/>
  <c r="F530" i="7" s="1"/>
  <c r="H531" i="7"/>
  <c r="I531" i="7" s="1"/>
  <c r="F531" i="7" s="1"/>
  <c r="H532" i="7"/>
  <c r="I532" i="7" s="1"/>
  <c r="F532" i="7" s="1"/>
  <c r="H533" i="7"/>
  <c r="I533" i="7" s="1"/>
  <c r="H534" i="7"/>
  <c r="I534" i="7" s="1"/>
  <c r="H535" i="7"/>
  <c r="I535" i="7" s="1"/>
  <c r="H536" i="7"/>
  <c r="I536" i="7" s="1"/>
  <c r="I455" i="7"/>
  <c r="F455" i="7" s="1"/>
  <c r="E455" i="7" s="1"/>
  <c r="H506" i="7"/>
  <c r="I506" i="7" s="1"/>
  <c r="F506" i="7" s="1"/>
  <c r="H507" i="7"/>
  <c r="I507" i="7" s="1"/>
  <c r="F507" i="7" s="1"/>
  <c r="H508" i="7"/>
  <c r="I508" i="7" s="1"/>
  <c r="F508" i="7" s="1"/>
  <c r="H509" i="7"/>
  <c r="I509" i="7" s="1"/>
  <c r="H510" i="7"/>
  <c r="I510" i="7" s="1"/>
  <c r="F510" i="7" s="1"/>
  <c r="H511" i="7"/>
  <c r="I511" i="7" s="1"/>
  <c r="F511" i="7" s="1"/>
  <c r="H512" i="7"/>
  <c r="I512" i="7" s="1"/>
  <c r="F512" i="7" s="1"/>
  <c r="H513" i="7"/>
  <c r="I513" i="7" s="1"/>
  <c r="F513" i="7" s="1"/>
  <c r="H514" i="7"/>
  <c r="I514" i="7" s="1"/>
  <c r="F514" i="7" s="1"/>
  <c r="H515" i="7"/>
  <c r="I515" i="7" s="1"/>
  <c r="F515" i="7" s="1"/>
  <c r="H516" i="7"/>
  <c r="I516" i="7" s="1"/>
  <c r="F516" i="7" s="1"/>
  <c r="H517" i="7"/>
  <c r="I517" i="7" s="1"/>
  <c r="F517" i="7" s="1"/>
  <c r="H518" i="7"/>
  <c r="I518" i="7" s="1"/>
  <c r="H519" i="7"/>
  <c r="I519" i="7" s="1"/>
  <c r="F519" i="7" s="1"/>
  <c r="H520" i="7"/>
  <c r="I520" i="7" s="1"/>
  <c r="F520" i="7" s="1"/>
  <c r="H451" i="7"/>
  <c r="I451" i="7" s="1"/>
  <c r="H452" i="7"/>
  <c r="I452" i="7" s="1"/>
  <c r="F452" i="7" s="1"/>
  <c r="H453" i="7"/>
  <c r="I453" i="7" s="1"/>
  <c r="F453" i="7" s="1"/>
  <c r="H454" i="7"/>
  <c r="I454" i="7" s="1"/>
  <c r="F454" i="7" s="1"/>
  <c r="H483" i="7"/>
  <c r="I483" i="7" s="1"/>
  <c r="H484" i="7"/>
  <c r="I484" i="7" s="1"/>
  <c r="F484" i="7" s="1"/>
  <c r="H485" i="7"/>
  <c r="I485" i="7" s="1"/>
  <c r="F485" i="7" s="1"/>
  <c r="H486" i="7"/>
  <c r="I486" i="7" s="1"/>
  <c r="H487" i="7"/>
  <c r="I487" i="7" s="1"/>
  <c r="F487" i="7" s="1"/>
  <c r="H488" i="7"/>
  <c r="I488" i="7" s="1"/>
  <c r="F488" i="7" s="1"/>
  <c r="H489" i="7"/>
  <c r="I489" i="7" s="1"/>
  <c r="H490" i="7"/>
  <c r="I490" i="7" s="1"/>
  <c r="F490" i="7" s="1"/>
  <c r="H491" i="7"/>
  <c r="I491" i="7" s="1"/>
  <c r="F491" i="7" s="1"/>
  <c r="H492" i="7"/>
  <c r="I492" i="7" s="1"/>
  <c r="F492" i="7" s="1"/>
  <c r="H493" i="7"/>
  <c r="I493" i="7" s="1"/>
  <c r="H494" i="7"/>
  <c r="I494" i="7" s="1"/>
  <c r="F494" i="7" s="1"/>
  <c r="H495" i="7"/>
  <c r="I495" i="7" s="1"/>
  <c r="F495" i="7" s="1"/>
  <c r="H496" i="7"/>
  <c r="I496" i="7" s="1"/>
  <c r="F496" i="7" s="1"/>
  <c r="H497" i="7"/>
  <c r="I497" i="7" s="1"/>
  <c r="H498" i="7"/>
  <c r="I498" i="7" s="1"/>
  <c r="F498" i="7" s="1"/>
  <c r="H499" i="7"/>
  <c r="I499" i="7" s="1"/>
  <c r="F499" i="7" s="1"/>
  <c r="H500" i="7"/>
  <c r="I500" i="7" s="1"/>
  <c r="F500" i="7" s="1"/>
  <c r="H501" i="7"/>
  <c r="I501" i="7" s="1"/>
  <c r="H502" i="7"/>
  <c r="I502" i="7" s="1"/>
  <c r="F502" i="7" s="1"/>
  <c r="E502" i="7" s="1"/>
  <c r="D502" i="7" s="1"/>
  <c r="H503" i="7"/>
  <c r="I503" i="7" s="1"/>
  <c r="F503" i="7" s="1"/>
  <c r="E503" i="7" s="1"/>
  <c r="D503" i="7" s="1"/>
  <c r="H504" i="7"/>
  <c r="I504" i="7" s="1"/>
  <c r="F504" i="7" s="1"/>
  <c r="E504" i="7" s="1"/>
  <c r="D504" i="7" s="1"/>
  <c r="H505" i="7"/>
  <c r="I505" i="7" s="1"/>
  <c r="H446" i="7"/>
  <c r="I446" i="7" s="1"/>
  <c r="F446" i="7" s="1"/>
  <c r="H447" i="7"/>
  <c r="I447" i="7" s="1"/>
  <c r="F447" i="7" s="1"/>
  <c r="H448" i="7"/>
  <c r="I448" i="7" s="1"/>
  <c r="F448" i="7" s="1"/>
  <c r="H449" i="7"/>
  <c r="I449" i="7" s="1"/>
  <c r="F449" i="7" s="1"/>
  <c r="H450" i="7"/>
  <c r="I450" i="7" s="1"/>
  <c r="F450" i="7" s="1"/>
  <c r="H468" i="7"/>
  <c r="I468" i="7" s="1"/>
  <c r="H469" i="7"/>
  <c r="I469" i="7" s="1"/>
  <c r="F469" i="7" s="1"/>
  <c r="H470" i="7"/>
  <c r="I470" i="7" s="1"/>
  <c r="F470" i="7" s="1"/>
  <c r="H471" i="7"/>
  <c r="I471" i="7" s="1"/>
  <c r="H472" i="7"/>
  <c r="I472" i="7" s="1"/>
  <c r="F472" i="7" s="1"/>
  <c r="H473" i="7"/>
  <c r="I473" i="7" s="1"/>
  <c r="F473" i="7" s="1"/>
  <c r="H474" i="7"/>
  <c r="I474" i="7" s="1"/>
  <c r="H475" i="7"/>
  <c r="I475" i="7" s="1"/>
  <c r="F475" i="7" s="1"/>
  <c r="H476" i="7"/>
  <c r="I476" i="7" s="1"/>
  <c r="F476" i="7" s="1"/>
  <c r="H477" i="7"/>
  <c r="I477" i="7" s="1"/>
  <c r="F477" i="7" s="1"/>
  <c r="H478" i="7"/>
  <c r="I478" i="7" s="1"/>
  <c r="F478" i="7" s="1"/>
  <c r="H479" i="7"/>
  <c r="I479" i="7" s="1"/>
  <c r="H480" i="7"/>
  <c r="I480" i="7" s="1"/>
  <c r="F480" i="7" s="1"/>
  <c r="H481" i="7"/>
  <c r="I481" i="7" s="1"/>
  <c r="F481" i="7" s="1"/>
  <c r="H482" i="7"/>
  <c r="I482" i="7" s="1"/>
  <c r="F482" i="7" s="1"/>
  <c r="H420" i="7"/>
  <c r="I420" i="7" s="1"/>
  <c r="F420" i="7" s="1"/>
  <c r="H421" i="7"/>
  <c r="I421" i="7" s="1"/>
  <c r="F421" i="7" s="1"/>
  <c r="H422" i="7"/>
  <c r="I422" i="7" s="1"/>
  <c r="F422" i="7" s="1"/>
  <c r="H423" i="7"/>
  <c r="I423" i="7" s="1"/>
  <c r="H424" i="7"/>
  <c r="I424" i="7" s="1"/>
  <c r="F424" i="7" s="1"/>
  <c r="H425" i="7"/>
  <c r="I425" i="7" s="1"/>
  <c r="F425" i="7" s="1"/>
  <c r="H426" i="7"/>
  <c r="I426" i="7" s="1"/>
  <c r="F426" i="7" s="1"/>
  <c r="H427" i="7"/>
  <c r="I427" i="7" s="1"/>
  <c r="F427" i="7" s="1"/>
  <c r="H428" i="7"/>
  <c r="I428" i="7" s="1"/>
  <c r="F428" i="7" s="1"/>
  <c r="H429" i="7"/>
  <c r="I429" i="7" s="1"/>
  <c r="H430" i="7"/>
  <c r="I430" i="7" s="1"/>
  <c r="F430" i="7" s="1"/>
  <c r="H431" i="7"/>
  <c r="I431" i="7" s="1"/>
  <c r="F431" i="7" s="1"/>
  <c r="H432" i="7"/>
  <c r="I432" i="7" s="1"/>
  <c r="H433" i="7"/>
  <c r="I433" i="7" s="1"/>
  <c r="F433" i="7" s="1"/>
  <c r="H434" i="7"/>
  <c r="I434" i="7" s="1"/>
  <c r="F434" i="7" s="1"/>
  <c r="H435" i="7"/>
  <c r="I435" i="7" s="1"/>
  <c r="H436" i="7"/>
  <c r="I436" i="7" s="1"/>
  <c r="F436" i="7" s="1"/>
  <c r="H437" i="7"/>
  <c r="I437" i="7" s="1"/>
  <c r="F437" i="7" s="1"/>
  <c r="H438" i="7"/>
  <c r="I438" i="7" s="1"/>
  <c r="H439" i="7"/>
  <c r="I439" i="7" s="1"/>
  <c r="F439" i="7" s="1"/>
  <c r="H440" i="7"/>
  <c r="I440" i="7" s="1"/>
  <c r="F440" i="7" s="1"/>
  <c r="H441" i="7"/>
  <c r="I441" i="7" s="1"/>
  <c r="H442" i="7"/>
  <c r="I442" i="7" s="1"/>
  <c r="F442" i="7" s="1"/>
  <c r="H443" i="7"/>
  <c r="I443" i="7" s="1"/>
  <c r="F443" i="7" s="1"/>
  <c r="H444" i="7"/>
  <c r="I444" i="7" s="1"/>
  <c r="F444" i="7" s="1"/>
  <c r="H445" i="7"/>
  <c r="I445" i="7" s="1"/>
  <c r="H394" i="7"/>
  <c r="I394" i="7" s="1"/>
  <c r="F394" i="7" s="1"/>
  <c r="H395" i="7"/>
  <c r="I395" i="7" s="1"/>
  <c r="F395" i="7" s="1"/>
  <c r="H396" i="7"/>
  <c r="I396" i="7" s="1"/>
  <c r="F396" i="7" s="1"/>
  <c r="H397" i="7"/>
  <c r="I397" i="7" s="1"/>
  <c r="F397" i="7" s="1"/>
  <c r="H398" i="7"/>
  <c r="I398" i="7" s="1"/>
  <c r="F398" i="7" s="1"/>
  <c r="H399" i="7"/>
  <c r="I399" i="7" s="1"/>
  <c r="F399" i="7" s="1"/>
  <c r="H400" i="7"/>
  <c r="I400" i="7" s="1"/>
  <c r="F400" i="7" s="1"/>
  <c r="H401" i="7"/>
  <c r="I401" i="7" s="1"/>
  <c r="F401" i="7" s="1"/>
  <c r="H402" i="7"/>
  <c r="I402" i="7" s="1"/>
  <c r="F402" i="7" s="1"/>
  <c r="H403" i="7"/>
  <c r="I403" i="7" s="1"/>
  <c r="F403" i="7" s="1"/>
  <c r="H404" i="7"/>
  <c r="I404" i="7" s="1"/>
  <c r="H405" i="7"/>
  <c r="I405" i="7" s="1"/>
  <c r="F405" i="7" s="1"/>
  <c r="H406" i="7"/>
  <c r="I406" i="7" s="1"/>
  <c r="F406" i="7" s="1"/>
  <c r="H407" i="7"/>
  <c r="I407" i="7" s="1"/>
  <c r="H408" i="7"/>
  <c r="I408" i="7" s="1"/>
  <c r="F408" i="7" s="1"/>
  <c r="H409" i="7"/>
  <c r="I409" i="7" s="1"/>
  <c r="F409" i="7" s="1"/>
  <c r="H410" i="7"/>
  <c r="I410" i="7" s="1"/>
  <c r="F410" i="7" s="1"/>
  <c r="H411" i="7"/>
  <c r="I411" i="7" s="1"/>
  <c r="F411" i="7" s="1"/>
  <c r="H412" i="7"/>
  <c r="I412" i="7" s="1"/>
  <c r="F412" i="7" s="1"/>
  <c r="H413" i="7"/>
  <c r="I413" i="7" s="1"/>
  <c r="F413" i="7" s="1"/>
  <c r="H414" i="7"/>
  <c r="I414" i="7" s="1"/>
  <c r="F414" i="7" s="1"/>
  <c r="H415" i="7"/>
  <c r="I415" i="7" s="1"/>
  <c r="F415" i="7" s="1"/>
  <c r="H416" i="7"/>
  <c r="I416" i="7" s="1"/>
  <c r="H417" i="7"/>
  <c r="I417" i="7" s="1"/>
  <c r="F417" i="7" s="1"/>
  <c r="H418" i="7"/>
  <c r="I418" i="7" s="1"/>
  <c r="F418" i="7" s="1"/>
  <c r="H419" i="7"/>
  <c r="I419" i="7" s="1"/>
  <c r="F419" i="7" s="1"/>
  <c r="E415" i="7" l="1"/>
  <c r="D415" i="7" s="1"/>
  <c r="E444" i="7"/>
  <c r="D444" i="7" s="1"/>
  <c r="E440" i="7"/>
  <c r="D440" i="7" s="1"/>
  <c r="E436" i="7"/>
  <c r="D436" i="7" s="1"/>
  <c r="E430" i="7"/>
  <c r="D430" i="7" s="1"/>
  <c r="E426" i="7"/>
  <c r="D426" i="7" s="1"/>
  <c r="E424" i="7"/>
  <c r="D424" i="7" s="1"/>
  <c r="E422" i="7"/>
  <c r="D422" i="7" s="1"/>
  <c r="E420" i="7"/>
  <c r="D420" i="7" s="1"/>
  <c r="E481" i="7"/>
  <c r="D481" i="7" s="1"/>
  <c r="E477" i="7"/>
  <c r="D477" i="7" s="1"/>
  <c r="E475" i="7"/>
  <c r="D475" i="7" s="1"/>
  <c r="E473" i="7"/>
  <c r="D473" i="7" s="1"/>
  <c r="E469" i="7"/>
  <c r="D469" i="7" s="1"/>
  <c r="E450" i="7"/>
  <c r="D450" i="7" s="1"/>
  <c r="E448" i="7"/>
  <c r="D448" i="7" s="1"/>
  <c r="E446" i="7"/>
  <c r="D446" i="7" s="1"/>
  <c r="E478" i="7"/>
  <c r="D478" i="7" s="1"/>
  <c r="E470" i="7"/>
  <c r="D470" i="7" s="1"/>
  <c r="E449" i="7"/>
  <c r="D449" i="7" s="1"/>
  <c r="E499" i="7"/>
  <c r="D499" i="7" s="1"/>
  <c r="E495" i="7"/>
  <c r="D495" i="7" s="1"/>
  <c r="E491" i="7"/>
  <c r="D491" i="7" s="1"/>
  <c r="E487" i="7"/>
  <c r="D487" i="7" s="1"/>
  <c r="E485" i="7"/>
  <c r="D485" i="7" s="1"/>
  <c r="E498" i="7"/>
  <c r="D498" i="7" s="1"/>
  <c r="E494" i="7"/>
  <c r="D494" i="7" s="1"/>
  <c r="E490" i="7"/>
  <c r="D490" i="7" s="1"/>
  <c r="E454" i="7"/>
  <c r="D454" i="7" s="1"/>
  <c r="E452" i="7"/>
  <c r="D452" i="7" s="1"/>
  <c r="E520" i="7"/>
  <c r="D520" i="7" s="1"/>
  <c r="E516" i="7"/>
  <c r="D516" i="7" s="1"/>
  <c r="E514" i="7"/>
  <c r="D514" i="7" s="1"/>
  <c r="E512" i="7"/>
  <c r="D512" i="7" s="1"/>
  <c r="E510" i="7"/>
  <c r="D510" i="7" s="1"/>
  <c r="E508" i="7"/>
  <c r="D508" i="7" s="1"/>
  <c r="E506" i="7"/>
  <c r="D506" i="7" s="1"/>
  <c r="E536" i="7"/>
  <c r="D536" i="7" s="1"/>
  <c r="E534" i="7"/>
  <c r="D534" i="7" s="1"/>
  <c r="E532" i="7"/>
  <c r="D532" i="7" s="1"/>
  <c r="E530" i="7"/>
  <c r="D530" i="7" s="1"/>
  <c r="E528" i="7"/>
  <c r="D528" i="7" s="1"/>
  <c r="E524" i="7"/>
  <c r="D524" i="7" s="1"/>
  <c r="E462" i="7"/>
  <c r="D462" i="7" s="1"/>
  <c r="E460" i="7"/>
  <c r="D460" i="7" s="1"/>
  <c r="E458" i="7"/>
  <c r="D458" i="7" s="1"/>
  <c r="E456" i="7"/>
  <c r="D456" i="7" s="1"/>
  <c r="E419" i="7"/>
  <c r="D419" i="7" s="1"/>
  <c r="E411" i="7"/>
  <c r="D411" i="7" s="1"/>
  <c r="E403" i="7"/>
  <c r="D403" i="7" s="1"/>
  <c r="E399" i="7"/>
  <c r="D399" i="7" s="1"/>
  <c r="E395" i="7"/>
  <c r="D395" i="7" s="1"/>
  <c r="E442" i="7"/>
  <c r="D442" i="7" s="1"/>
  <c r="E434" i="7"/>
  <c r="D434" i="7" s="1"/>
  <c r="E428" i="7"/>
  <c r="D428" i="7" s="1"/>
  <c r="E418" i="7"/>
  <c r="D418" i="7" s="1"/>
  <c r="E414" i="7"/>
  <c r="D414" i="7" s="1"/>
  <c r="E412" i="7"/>
  <c r="D412" i="7" s="1"/>
  <c r="E410" i="7"/>
  <c r="D410" i="7" s="1"/>
  <c r="E408" i="7"/>
  <c r="D408" i="7" s="1"/>
  <c r="E406" i="7"/>
  <c r="D406" i="7" s="1"/>
  <c r="E402" i="7"/>
  <c r="D402" i="7" s="1"/>
  <c r="E400" i="7"/>
  <c r="D400" i="7" s="1"/>
  <c r="E398" i="7"/>
  <c r="D398" i="7" s="1"/>
  <c r="E396" i="7"/>
  <c r="D396" i="7" s="1"/>
  <c r="E394" i="7"/>
  <c r="D394" i="7" s="1"/>
  <c r="E417" i="7"/>
  <c r="D417" i="7" s="1"/>
  <c r="E413" i="7"/>
  <c r="D413" i="7" s="1"/>
  <c r="E409" i="7"/>
  <c r="D409" i="7" s="1"/>
  <c r="E405" i="7"/>
  <c r="D405" i="7" s="1"/>
  <c r="E401" i="7"/>
  <c r="D401" i="7" s="1"/>
  <c r="E397" i="7"/>
  <c r="D397" i="7" s="1"/>
  <c r="E443" i="7"/>
  <c r="D443" i="7" s="1"/>
  <c r="E439" i="7"/>
  <c r="D439" i="7" s="1"/>
  <c r="E437" i="7"/>
  <c r="D437" i="7" s="1"/>
  <c r="E433" i="7"/>
  <c r="D433" i="7" s="1"/>
  <c r="E431" i="7"/>
  <c r="D431" i="7" s="1"/>
  <c r="E427" i="7"/>
  <c r="D427" i="7" s="1"/>
  <c r="E425" i="7"/>
  <c r="D425" i="7" s="1"/>
  <c r="E421" i="7"/>
  <c r="D421" i="7" s="1"/>
  <c r="E482" i="7"/>
  <c r="D482" i="7" s="1"/>
  <c r="E480" i="7"/>
  <c r="D480" i="7" s="1"/>
  <c r="E476" i="7"/>
  <c r="D476" i="7" s="1"/>
  <c r="E472" i="7"/>
  <c r="D472" i="7" s="1"/>
  <c r="E447" i="7"/>
  <c r="D447" i="7" s="1"/>
  <c r="E500" i="7"/>
  <c r="D500" i="7" s="1"/>
  <c r="E496" i="7"/>
  <c r="D496" i="7" s="1"/>
  <c r="E492" i="7"/>
  <c r="D492" i="7" s="1"/>
  <c r="E488" i="7"/>
  <c r="D488" i="7" s="1"/>
  <c r="E484" i="7"/>
  <c r="D484" i="7" s="1"/>
  <c r="E453" i="7"/>
  <c r="D453" i="7" s="1"/>
  <c r="E519" i="7"/>
  <c r="D519" i="7" s="1"/>
  <c r="E517" i="7"/>
  <c r="D517" i="7" s="1"/>
  <c r="E515" i="7"/>
  <c r="D515" i="7" s="1"/>
  <c r="E513" i="7"/>
  <c r="D513" i="7" s="1"/>
  <c r="E511" i="7"/>
  <c r="D511" i="7" s="1"/>
  <c r="E507" i="7"/>
  <c r="D507" i="7" s="1"/>
  <c r="E535" i="7"/>
  <c r="D535" i="7" s="1"/>
  <c r="E531" i="7"/>
  <c r="D531" i="7" s="1"/>
  <c r="E527" i="7"/>
  <c r="D527" i="7" s="1"/>
  <c r="E525" i="7"/>
  <c r="D525" i="7" s="1"/>
  <c r="E523" i="7"/>
  <c r="D523" i="7" s="1"/>
  <c r="E521" i="7"/>
  <c r="D521" i="7" s="1"/>
  <c r="E461" i="7"/>
  <c r="D461" i="7" s="1"/>
  <c r="E459" i="7"/>
  <c r="D459" i="7" s="1"/>
  <c r="D455" i="7"/>
  <c r="E569" i="7"/>
  <c r="D569" i="7" s="1"/>
  <c r="E538" i="7"/>
  <c r="D538" i="7" s="1"/>
  <c r="E570" i="7"/>
  <c r="D570" i="7" s="1"/>
  <c r="E539" i="7"/>
  <c r="D539" i="7" s="1"/>
  <c r="E598" i="7"/>
  <c r="D598" i="7" s="1"/>
  <c r="E596" i="7"/>
  <c r="D596" i="7" s="1"/>
  <c r="E594" i="7"/>
  <c r="D594" i="7" s="1"/>
  <c r="E592" i="7"/>
  <c r="D592" i="7" s="1"/>
  <c r="E590" i="7"/>
  <c r="D590" i="7" s="1"/>
  <c r="E588" i="7"/>
  <c r="D588" i="7" s="1"/>
  <c r="E586" i="7"/>
  <c r="D586" i="7" s="1"/>
  <c r="E584" i="7"/>
  <c r="D584" i="7" s="1"/>
  <c r="E649" i="7"/>
  <c r="D649" i="7" s="1"/>
  <c r="E645" i="7"/>
  <c r="D645" i="7" s="1"/>
  <c r="E643" i="7"/>
  <c r="D643" i="7" s="1"/>
  <c r="E641" i="7"/>
  <c r="D641" i="7" s="1"/>
  <c r="E639" i="7"/>
  <c r="D639" i="7" s="1"/>
  <c r="E637" i="7"/>
  <c r="D637" i="7" s="1"/>
  <c r="E674" i="7"/>
  <c r="D674" i="7" s="1"/>
  <c r="E672" i="7"/>
  <c r="D672" i="7" s="1"/>
  <c r="E670" i="7"/>
  <c r="D670" i="7" s="1"/>
  <c r="E668" i="7"/>
  <c r="D668" i="7" s="1"/>
  <c r="E664" i="7"/>
  <c r="D664" i="7" s="1"/>
  <c r="E662" i="7"/>
  <c r="D662" i="7" s="1"/>
  <c r="E658" i="7"/>
  <c r="D658" i="7" s="1"/>
  <c r="E656" i="7"/>
  <c r="D656" i="7" s="1"/>
  <c r="E654" i="7"/>
  <c r="D654" i="7" s="1"/>
  <c r="E678" i="7"/>
  <c r="D678" i="7" s="1"/>
  <c r="E701" i="7"/>
  <c r="D701" i="7" s="1"/>
  <c r="E699" i="7"/>
  <c r="D699" i="7" s="1"/>
  <c r="E697" i="7"/>
  <c r="D697" i="7" s="1"/>
  <c r="E695" i="7"/>
  <c r="D695" i="7" s="1"/>
  <c r="E693" i="7"/>
  <c r="D693" i="7" s="1"/>
  <c r="E691" i="7"/>
  <c r="D691" i="7" s="1"/>
  <c r="E689" i="7"/>
  <c r="D689" i="7" s="1"/>
  <c r="E687" i="7"/>
  <c r="D687" i="7" s="1"/>
  <c r="E685" i="7"/>
  <c r="D685" i="7" s="1"/>
  <c r="E683" i="7"/>
  <c r="D683" i="7" s="1"/>
  <c r="E727" i="7"/>
  <c r="D727" i="7" s="1"/>
  <c r="E723" i="7"/>
  <c r="D723" i="7" s="1"/>
  <c r="E721" i="7"/>
  <c r="D721" i="7" s="1"/>
  <c r="E717" i="7"/>
  <c r="D717" i="7" s="1"/>
  <c r="E713" i="7"/>
  <c r="D713" i="7" s="1"/>
  <c r="E711" i="7"/>
  <c r="D711" i="7" s="1"/>
  <c r="E707" i="7"/>
  <c r="D707" i="7" s="1"/>
  <c r="E705" i="7"/>
  <c r="D705" i="7" s="1"/>
  <c r="E753" i="7"/>
  <c r="D753" i="7" s="1"/>
  <c r="E751" i="7"/>
  <c r="D751" i="7" s="1"/>
  <c r="E749" i="7"/>
  <c r="D749" i="7" s="1"/>
  <c r="E745" i="7"/>
  <c r="D745" i="7" s="1"/>
  <c r="E741" i="7"/>
  <c r="D741" i="7" s="1"/>
  <c r="E739" i="7"/>
  <c r="D739" i="7" s="1"/>
  <c r="E737" i="7"/>
  <c r="D737" i="7" s="1"/>
  <c r="E735" i="7"/>
  <c r="D735" i="7" s="1"/>
  <c r="E733" i="7"/>
  <c r="D733" i="7" s="1"/>
  <c r="E731" i="7"/>
  <c r="D731" i="7" s="1"/>
  <c r="E774" i="7"/>
  <c r="D774" i="7" s="1"/>
  <c r="E772" i="7"/>
  <c r="D772" i="7" s="1"/>
  <c r="E770" i="7"/>
  <c r="D770" i="7" s="1"/>
  <c r="E768" i="7"/>
  <c r="D768" i="7" s="1"/>
  <c r="E766" i="7"/>
  <c r="D766" i="7" s="1"/>
  <c r="E762" i="7"/>
  <c r="D762" i="7" s="1"/>
  <c r="E760" i="7"/>
  <c r="D760" i="7" s="1"/>
  <c r="E758" i="7"/>
  <c r="D758" i="7" s="1"/>
  <c r="E754" i="7"/>
  <c r="D754" i="7" s="1"/>
  <c r="E568" i="7"/>
  <c r="D568" i="7" s="1"/>
  <c r="E599" i="7"/>
  <c r="D599" i="7" s="1"/>
  <c r="E597" i="7"/>
  <c r="D597" i="7" s="1"/>
  <c r="E595" i="7"/>
  <c r="D595" i="7" s="1"/>
  <c r="E593" i="7"/>
  <c r="D593" i="7" s="1"/>
  <c r="E591" i="7"/>
  <c r="D591" i="7" s="1"/>
  <c r="E589" i="7"/>
  <c r="D589" i="7" s="1"/>
  <c r="E587" i="7"/>
  <c r="D587" i="7" s="1"/>
  <c r="E585" i="7"/>
  <c r="D585" i="7" s="1"/>
  <c r="E675" i="7"/>
  <c r="D675" i="7" s="1"/>
  <c r="E673" i="7"/>
  <c r="D673" i="7" s="1"/>
  <c r="E671" i="7"/>
  <c r="D671" i="7" s="1"/>
  <c r="E669" i="7"/>
  <c r="D669" i="7" s="1"/>
  <c r="E667" i="7"/>
  <c r="D667" i="7" s="1"/>
  <c r="E665" i="7"/>
  <c r="D665" i="7" s="1"/>
  <c r="E663" i="7"/>
  <c r="D663" i="7" s="1"/>
  <c r="E661" i="7"/>
  <c r="D661" i="7" s="1"/>
  <c r="E659" i="7"/>
  <c r="D659" i="7" s="1"/>
  <c r="E657" i="7"/>
  <c r="D657" i="7" s="1"/>
  <c r="E655" i="7"/>
  <c r="D655" i="7" s="1"/>
  <c r="E653" i="7"/>
  <c r="D653" i="7" s="1"/>
  <c r="E679" i="7"/>
  <c r="D679" i="7" s="1"/>
  <c r="E677" i="7"/>
  <c r="D677" i="7" s="1"/>
  <c r="E702" i="7"/>
  <c r="D702" i="7" s="1"/>
  <c r="E700" i="7"/>
  <c r="D700" i="7" s="1"/>
  <c r="E696" i="7"/>
  <c r="D696" i="7" s="1"/>
  <c r="E694" i="7"/>
  <c r="D694" i="7" s="1"/>
  <c r="E692" i="7"/>
  <c r="D692" i="7" s="1"/>
  <c r="E690" i="7"/>
  <c r="D690" i="7" s="1"/>
  <c r="E688" i="7"/>
  <c r="D688" i="7" s="1"/>
  <c r="E684" i="7"/>
  <c r="D684" i="7" s="1"/>
  <c r="E682" i="7"/>
  <c r="D682" i="7" s="1"/>
  <c r="E728" i="7"/>
  <c r="D728" i="7" s="1"/>
  <c r="E726" i="7"/>
  <c r="D726" i="7" s="1"/>
  <c r="E724" i="7"/>
  <c r="D724" i="7" s="1"/>
  <c r="E720" i="7"/>
  <c r="D720" i="7" s="1"/>
  <c r="E718" i="7"/>
  <c r="D718" i="7" s="1"/>
  <c r="E716" i="7"/>
  <c r="D716" i="7" s="1"/>
  <c r="E714" i="7"/>
  <c r="D714" i="7" s="1"/>
  <c r="E712" i="7"/>
  <c r="D712" i="7" s="1"/>
  <c r="E710" i="7"/>
  <c r="D710" i="7" s="1"/>
  <c r="E708" i="7"/>
  <c r="D708" i="7" s="1"/>
  <c r="E706" i="7"/>
  <c r="D706" i="7" s="1"/>
  <c r="E704" i="7"/>
  <c r="D704" i="7" s="1"/>
  <c r="E752" i="7"/>
  <c r="D752" i="7" s="1"/>
  <c r="E748" i="7"/>
  <c r="D748" i="7" s="1"/>
  <c r="E746" i="7"/>
  <c r="D746" i="7" s="1"/>
  <c r="E744" i="7"/>
  <c r="D744" i="7" s="1"/>
  <c r="E742" i="7"/>
  <c r="D742" i="7" s="1"/>
  <c r="E740" i="7"/>
  <c r="D740" i="7" s="1"/>
  <c r="E738" i="7"/>
  <c r="D738" i="7" s="1"/>
  <c r="E736" i="7"/>
  <c r="D736" i="7" s="1"/>
  <c r="E734" i="7"/>
  <c r="D734" i="7" s="1"/>
  <c r="E732" i="7"/>
  <c r="D732" i="7" s="1"/>
  <c r="E730" i="7"/>
  <c r="D730" i="7" s="1"/>
  <c r="E773" i="7"/>
  <c r="D773" i="7" s="1"/>
  <c r="E769" i="7"/>
  <c r="D769" i="7" s="1"/>
  <c r="E765" i="7"/>
  <c r="D765" i="7" s="1"/>
  <c r="E761" i="7"/>
  <c r="D761" i="7" s="1"/>
  <c r="E757" i="7"/>
  <c r="D757" i="7" s="1"/>
  <c r="E650" i="7"/>
  <c r="D650" i="7" s="1"/>
  <c r="E648" i="7"/>
  <c r="D648" i="7" s="1"/>
  <c r="E646" i="7"/>
  <c r="D646" i="7" s="1"/>
  <c r="E644" i="7"/>
  <c r="D644" i="7" s="1"/>
  <c r="E642" i="7"/>
  <c r="D642" i="7" s="1"/>
  <c r="E638" i="7"/>
  <c r="D638" i="7" s="1"/>
  <c r="D775" i="7"/>
  <c r="D771" i="7"/>
  <c r="E791" i="7"/>
  <c r="D791" i="7" s="1"/>
  <c r="E787" i="7"/>
  <c r="D787" i="7" s="1"/>
  <c r="E783" i="7"/>
  <c r="D783" i="7" s="1"/>
  <c r="E779" i="7"/>
  <c r="D779" i="7" s="1"/>
  <c r="E823" i="7"/>
  <c r="D823" i="7" s="1"/>
  <c r="E767" i="7"/>
  <c r="D767" i="7" s="1"/>
  <c r="E763" i="7"/>
  <c r="D763" i="7" s="1"/>
  <c r="E755" i="7"/>
  <c r="D755" i="7" s="1"/>
  <c r="E792" i="7"/>
  <c r="D792" i="7" s="1"/>
  <c r="E790" i="7"/>
  <c r="D790" i="7" s="1"/>
  <c r="E788" i="7"/>
  <c r="D788" i="7" s="1"/>
  <c r="E786" i="7"/>
  <c r="D786" i="7" s="1"/>
  <c r="E784" i="7"/>
  <c r="D784" i="7" s="1"/>
  <c r="E782" i="7"/>
  <c r="D782" i="7" s="1"/>
  <c r="E780" i="7"/>
  <c r="D780" i="7" s="1"/>
  <c r="E778" i="7"/>
  <c r="D778" i="7" s="1"/>
  <c r="E785" i="7"/>
  <c r="D785" i="7" s="1"/>
  <c r="E821" i="7"/>
  <c r="D821" i="7" s="1"/>
  <c r="E819" i="7"/>
  <c r="D819" i="7" s="1"/>
  <c r="E817" i="7"/>
  <c r="D817" i="7" s="1"/>
  <c r="E815" i="7"/>
  <c r="D815" i="7" s="1"/>
  <c r="E811" i="7"/>
  <c r="D811" i="7" s="1"/>
  <c r="E809" i="7"/>
  <c r="D809" i="7" s="1"/>
  <c r="E807" i="7"/>
  <c r="D807" i="7" s="1"/>
  <c r="E805" i="7"/>
  <c r="D805" i="7" s="1"/>
  <c r="E803" i="7"/>
  <c r="D803" i="7" s="1"/>
  <c r="E845" i="7"/>
  <c r="D845" i="7" s="1"/>
  <c r="E843" i="7"/>
  <c r="D843" i="7" s="1"/>
  <c r="E841" i="7"/>
  <c r="D841" i="7" s="1"/>
  <c r="E839" i="7"/>
  <c r="D839" i="7" s="1"/>
  <c r="E835" i="7"/>
  <c r="D835" i="7" s="1"/>
  <c r="E833" i="7"/>
  <c r="D833" i="7" s="1"/>
  <c r="E829" i="7"/>
  <c r="D829" i="7" s="1"/>
  <c r="E827" i="7"/>
  <c r="D827" i="7" s="1"/>
  <c r="E854" i="7"/>
  <c r="D854" i="7" s="1"/>
  <c r="E852" i="7"/>
  <c r="D852" i="7" s="1"/>
  <c r="E850" i="7"/>
  <c r="D850" i="7" s="1"/>
  <c r="E848" i="7"/>
  <c r="D848" i="7" s="1"/>
  <c r="E844" i="7"/>
  <c r="D844" i="7" s="1"/>
  <c r="E842" i="7"/>
  <c r="D842" i="7" s="1"/>
  <c r="E840" i="7"/>
  <c r="D840" i="7" s="1"/>
  <c r="E838" i="7"/>
  <c r="D838" i="7" s="1"/>
  <c r="E836" i="7"/>
  <c r="D836" i="7" s="1"/>
  <c r="E834" i="7"/>
  <c r="D834" i="7" s="1"/>
  <c r="E832" i="7"/>
  <c r="D832" i="7" s="1"/>
  <c r="E830" i="7"/>
  <c r="D830" i="7" s="1"/>
  <c r="E828" i="7"/>
  <c r="D828" i="7" s="1"/>
  <c r="E826" i="7"/>
  <c r="D826" i="7" s="1"/>
  <c r="E853" i="7"/>
  <c r="D853" i="7" s="1"/>
  <c r="E849" i="7"/>
  <c r="D849" i="7" s="1"/>
  <c r="E882" i="7"/>
  <c r="D882" i="7" s="1"/>
  <c r="E878" i="7"/>
  <c r="D878" i="7" s="1"/>
  <c r="E871" i="7"/>
  <c r="D871" i="7" s="1"/>
  <c r="E867" i="7"/>
  <c r="D867" i="7" s="1"/>
  <c r="E863" i="7"/>
  <c r="D863" i="7" s="1"/>
  <c r="E893" i="7"/>
  <c r="D893" i="7" s="1"/>
  <c r="E891" i="7"/>
  <c r="D891" i="7" s="1"/>
  <c r="E889" i="7"/>
  <c r="D889" i="7" s="1"/>
  <c r="E887" i="7"/>
  <c r="D887" i="7" s="1"/>
  <c r="E885" i="7"/>
  <c r="D885" i="7" s="1"/>
  <c r="E896" i="7"/>
  <c r="D896" i="7" s="1"/>
  <c r="E892" i="7"/>
  <c r="D892" i="7" s="1"/>
  <c r="E888" i="7"/>
  <c r="D888" i="7" s="1"/>
  <c r="E884" i="7"/>
  <c r="D884" i="7" s="1"/>
  <c r="D814" i="7"/>
  <c r="D810" i="7"/>
  <c r="D806" i="7"/>
  <c r="D802" i="7"/>
  <c r="D800" i="7"/>
  <c r="E820" i="7"/>
  <c r="D820" i="7" s="1"/>
  <c r="E816" i="7"/>
  <c r="D816" i="7" s="1"/>
  <c r="E812" i="7"/>
  <c r="D812" i="7" s="1"/>
  <c r="E808" i="7"/>
  <c r="D808" i="7" s="1"/>
  <c r="E804" i="7"/>
  <c r="D804" i="7" s="1"/>
  <c r="E846" i="7"/>
  <c r="D846" i="7" s="1"/>
  <c r="E851" i="7"/>
  <c r="D851" i="7" s="1"/>
  <c r="E847" i="7"/>
  <c r="D847" i="7" s="1"/>
  <c r="E883" i="7"/>
  <c r="D883" i="7" s="1"/>
  <c r="E881" i="7"/>
  <c r="D881" i="7" s="1"/>
  <c r="E879" i="7"/>
  <c r="D879" i="7" s="1"/>
  <c r="E877" i="7"/>
  <c r="D877" i="7" s="1"/>
  <c r="E875" i="7"/>
  <c r="D875" i="7" s="1"/>
  <c r="E872" i="7"/>
  <c r="D872" i="7" s="1"/>
  <c r="E870" i="7"/>
  <c r="D870" i="7" s="1"/>
  <c r="E868" i="7"/>
  <c r="D868" i="7" s="1"/>
  <c r="E866" i="7"/>
  <c r="D866" i="7" s="1"/>
  <c r="E864" i="7"/>
  <c r="D864" i="7" s="1"/>
  <c r="E862" i="7"/>
  <c r="D862" i="7" s="1"/>
  <c r="E876" i="7"/>
  <c r="D876" i="7" s="1"/>
  <c r="E873" i="7"/>
  <c r="D873" i="7" s="1"/>
  <c r="E869" i="7"/>
  <c r="D869" i="7" s="1"/>
  <c r="E894" i="7"/>
  <c r="D894" i="7" s="1"/>
  <c r="E890" i="7"/>
  <c r="D890" i="7" s="1"/>
  <c r="E886" i="7"/>
  <c r="D886" i="7" s="1"/>
  <c r="E921" i="7"/>
  <c r="D921" i="7" s="1"/>
  <c r="E919" i="7"/>
  <c r="D919" i="7" s="1"/>
  <c r="E917" i="7"/>
  <c r="D917" i="7" s="1"/>
  <c r="E911" i="7"/>
  <c r="D911" i="7" s="1"/>
  <c r="E909" i="7"/>
  <c r="D909" i="7" s="1"/>
  <c r="E907" i="7"/>
  <c r="D907" i="7" s="1"/>
  <c r="E905" i="7"/>
  <c r="D905" i="7" s="1"/>
  <c r="E903" i="7"/>
  <c r="D903" i="7" s="1"/>
  <c r="E901" i="7"/>
  <c r="D901" i="7" s="1"/>
  <c r="E899" i="7"/>
  <c r="D899" i="7" s="1"/>
  <c r="E897" i="7"/>
  <c r="D897" i="7" s="1"/>
  <c r="E923" i="7"/>
  <c r="D923" i="7" s="1"/>
  <c r="E927" i="7"/>
  <c r="D927" i="7" s="1"/>
  <c r="E925" i="7"/>
  <c r="D925" i="7" s="1"/>
  <c r="E918" i="7"/>
  <c r="D918" i="7" s="1"/>
  <c r="E914" i="7"/>
  <c r="D914" i="7" s="1"/>
  <c r="E910" i="7"/>
  <c r="D910" i="7" s="1"/>
  <c r="E946" i="7"/>
  <c r="D946" i="7" s="1"/>
  <c r="E944" i="7"/>
  <c r="D944" i="7" s="1"/>
  <c r="E942" i="7"/>
  <c r="D942" i="7" s="1"/>
  <c r="E940" i="7"/>
  <c r="D940" i="7" s="1"/>
  <c r="E938" i="7"/>
  <c r="D938" i="7" s="1"/>
  <c r="E936" i="7"/>
  <c r="D936" i="7" s="1"/>
  <c r="E934" i="7"/>
  <c r="D934" i="7" s="1"/>
  <c r="E932" i="7"/>
  <c r="D932" i="7" s="1"/>
  <c r="E926" i="7"/>
  <c r="D926" i="7" s="1"/>
  <c r="E922" i="7"/>
  <c r="D922" i="7" s="1"/>
  <c r="D906" i="7"/>
  <c r="D902" i="7"/>
  <c r="D898" i="7"/>
  <c r="E920" i="7"/>
  <c r="D920" i="7" s="1"/>
  <c r="E916" i="7"/>
  <c r="D916" i="7" s="1"/>
  <c r="E912" i="7"/>
  <c r="D912" i="7" s="1"/>
  <c r="E908" i="7"/>
  <c r="D908" i="7" s="1"/>
  <c r="E904" i="7"/>
  <c r="D904" i="7" s="1"/>
  <c r="E900" i="7"/>
  <c r="D900" i="7" s="1"/>
  <c r="E947" i="7"/>
  <c r="D947" i="7" s="1"/>
  <c r="E945" i="7"/>
  <c r="D945" i="7" s="1"/>
  <c r="E943" i="7"/>
  <c r="D943" i="7" s="1"/>
  <c r="E941" i="7"/>
  <c r="D941" i="7" s="1"/>
  <c r="E939" i="7"/>
  <c r="D939" i="7" s="1"/>
  <c r="E937" i="7"/>
  <c r="D937" i="7" s="1"/>
  <c r="E935" i="7"/>
  <c r="D935" i="7" s="1"/>
  <c r="E933" i="7"/>
  <c r="D933" i="7" s="1"/>
  <c r="E954" i="7"/>
  <c r="D954" i="7" s="1"/>
  <c r="E952" i="7"/>
  <c r="D952" i="7" s="1"/>
  <c r="E950" i="7"/>
  <c r="D950" i="7" s="1"/>
  <c r="E951" i="7"/>
  <c r="D951" i="7" s="1"/>
  <c r="E961" i="7"/>
  <c r="D961" i="7" s="1"/>
  <c r="E981" i="7"/>
  <c r="D981" i="7" s="1"/>
  <c r="E979" i="7"/>
  <c r="D979" i="7" s="1"/>
  <c r="E977" i="7"/>
  <c r="D977" i="7" s="1"/>
  <c r="E975" i="7"/>
  <c r="D975" i="7" s="1"/>
  <c r="E973" i="7"/>
  <c r="D973" i="7" s="1"/>
  <c r="E971" i="7"/>
  <c r="D971" i="7" s="1"/>
  <c r="E969" i="7"/>
  <c r="D969" i="7" s="1"/>
  <c r="E984" i="7"/>
  <c r="D984" i="7" s="1"/>
  <c r="E980" i="7"/>
  <c r="D980" i="7" s="1"/>
  <c r="E976" i="7"/>
  <c r="D976" i="7" s="1"/>
  <c r="E972" i="7"/>
  <c r="D972" i="7" s="1"/>
  <c r="E968" i="7"/>
  <c r="D968" i="7" s="1"/>
  <c r="E992" i="7"/>
  <c r="D992" i="7" s="1"/>
  <c r="E990" i="7"/>
  <c r="D990" i="7" s="1"/>
  <c r="E988" i="7"/>
  <c r="D988" i="7" s="1"/>
  <c r="E986" i="7"/>
  <c r="D986" i="7" s="1"/>
  <c r="E993" i="7"/>
  <c r="D993" i="7" s="1"/>
  <c r="E989" i="7"/>
  <c r="D989" i="7" s="1"/>
  <c r="E953" i="7"/>
  <c r="D953" i="7" s="1"/>
  <c r="E960" i="7"/>
  <c r="D960" i="7" s="1"/>
  <c r="E982" i="7"/>
  <c r="D982" i="7" s="1"/>
  <c r="E978" i="7"/>
  <c r="D978" i="7" s="1"/>
  <c r="E974" i="7"/>
  <c r="D974" i="7" s="1"/>
  <c r="E970" i="7"/>
  <c r="D970" i="7" s="1"/>
  <c r="E991" i="7"/>
  <c r="D991" i="7" s="1"/>
  <c r="E987" i="7"/>
  <c r="D987" i="7" s="1"/>
  <c r="E566" i="7"/>
  <c r="D566" i="7" s="1"/>
  <c r="E565" i="7"/>
  <c r="D565" i="7" s="1"/>
  <c r="E564" i="7"/>
  <c r="D564" i="7" s="1"/>
  <c r="E562" i="7"/>
  <c r="D562" i="7" s="1"/>
  <c r="E561" i="7"/>
  <c r="D561" i="7" s="1"/>
  <c r="E560" i="7"/>
  <c r="D560" i="7" s="1"/>
  <c r="E545" i="7"/>
  <c r="D545" i="7" s="1"/>
  <c r="E544" i="7"/>
  <c r="D544" i="7" s="1"/>
  <c r="E467" i="7"/>
  <c r="D467" i="7" s="1"/>
  <c r="E466" i="7"/>
  <c r="D466" i="7" s="1"/>
  <c r="E465" i="7"/>
  <c r="D465" i="7" s="1"/>
  <c r="E541" i="7"/>
  <c r="D541" i="7" s="1"/>
  <c r="E464" i="7"/>
  <c r="D464" i="7" s="1"/>
  <c r="E542" i="7"/>
  <c r="D542" i="7" s="1"/>
  <c r="E797" i="7"/>
  <c r="D797" i="7" s="1"/>
  <c r="E798" i="7"/>
  <c r="D798" i="7" s="1"/>
  <c r="E796" i="7"/>
  <c r="D796" i="7" s="1"/>
  <c r="E794" i="7"/>
  <c r="D794" i="7" s="1"/>
  <c r="E793" i="7"/>
  <c r="D793" i="7" s="1"/>
  <c r="E776" i="7"/>
  <c r="D776" i="7" s="1"/>
  <c r="I378" i="7"/>
  <c r="F378" i="7" s="1"/>
  <c r="I379" i="7"/>
  <c r="F379" i="7" s="1"/>
  <c r="I380" i="7"/>
  <c r="F380" i="7" s="1"/>
  <c r="I381" i="7"/>
  <c r="F381" i="7" s="1"/>
  <c r="I382" i="7"/>
  <c r="H372" i="7"/>
  <c r="H373" i="7"/>
  <c r="H374" i="7"/>
  <c r="H375" i="7"/>
  <c r="H376" i="7"/>
  <c r="H377" i="7"/>
  <c r="I377" i="7" s="1"/>
  <c r="F377" i="7" s="1"/>
  <c r="H383" i="7"/>
  <c r="I383" i="7" s="1"/>
  <c r="H384" i="7"/>
  <c r="I384" i="7" s="1"/>
  <c r="F384" i="7" s="1"/>
  <c r="E384" i="7" s="1"/>
  <c r="H385" i="7"/>
  <c r="I385" i="7" s="1"/>
  <c r="F385" i="7" s="1"/>
  <c r="H386" i="7"/>
  <c r="I386" i="7" s="1"/>
  <c r="F386" i="7" s="1"/>
  <c r="H387" i="7"/>
  <c r="I387" i="7" s="1"/>
  <c r="F387" i="7" s="1"/>
  <c r="H388" i="7"/>
  <c r="I388" i="7" s="1"/>
  <c r="H389" i="7"/>
  <c r="I389" i="7" s="1"/>
  <c r="F389" i="7" s="1"/>
  <c r="H390" i="7"/>
  <c r="I390" i="7" s="1"/>
  <c r="F390" i="7" s="1"/>
  <c r="H391" i="7"/>
  <c r="I391" i="7" s="1"/>
  <c r="F391" i="7" s="1"/>
  <c r="H392" i="7"/>
  <c r="I392" i="7" s="1"/>
  <c r="F392" i="7" s="1"/>
  <c r="H393" i="7"/>
  <c r="I393" i="7" s="1"/>
  <c r="F393" i="7" s="1"/>
  <c r="F382" i="7"/>
  <c r="E382" i="7" s="1"/>
  <c r="I376" i="7"/>
  <c r="H356" i="7"/>
  <c r="I356" i="7" s="1"/>
  <c r="H357" i="7"/>
  <c r="I357" i="7" s="1"/>
  <c r="F357" i="7" s="1"/>
  <c r="E357" i="7" s="1"/>
  <c r="H358" i="7"/>
  <c r="I358" i="7" s="1"/>
  <c r="F358" i="7" s="1"/>
  <c r="H359" i="7"/>
  <c r="I359" i="7" s="1"/>
  <c r="F359" i="7" s="1"/>
  <c r="E359" i="7" s="1"/>
  <c r="H360" i="7"/>
  <c r="I360" i="7" s="1"/>
  <c r="F360" i="7" s="1"/>
  <c r="H361" i="7"/>
  <c r="I361" i="7" s="1"/>
  <c r="F361" i="7" s="1"/>
  <c r="E361" i="7" s="1"/>
  <c r="H362" i="7"/>
  <c r="I362" i="7" s="1"/>
  <c r="F362" i="7" s="1"/>
  <c r="H363" i="7"/>
  <c r="I363" i="7" s="1"/>
  <c r="H364" i="7"/>
  <c r="I364" i="7" s="1"/>
  <c r="F364" i="7" s="1"/>
  <c r="H365" i="7"/>
  <c r="I365" i="7" s="1"/>
  <c r="F365" i="7" s="1"/>
  <c r="H366" i="7"/>
  <c r="I366" i="7" s="1"/>
  <c r="F366" i="7" s="1"/>
  <c r="H367" i="7"/>
  <c r="I367" i="7" s="1"/>
  <c r="F367" i="7" s="1"/>
  <c r="H368" i="7"/>
  <c r="I368" i="7" s="1"/>
  <c r="H369" i="7"/>
  <c r="I369" i="7" s="1"/>
  <c r="F369" i="7" s="1"/>
  <c r="H370" i="7"/>
  <c r="I370" i="7" s="1"/>
  <c r="F370" i="7" s="1"/>
  <c r="H371" i="7"/>
  <c r="I371" i="7" s="1"/>
  <c r="F371" i="7" s="1"/>
  <c r="I372" i="7"/>
  <c r="F372" i="7" s="1"/>
  <c r="I373" i="7"/>
  <c r="F373" i="7" s="1"/>
  <c r="I374" i="7"/>
  <c r="F374" i="7" s="1"/>
  <c r="I375" i="7"/>
  <c r="F375" i="7" s="1"/>
  <c r="H339" i="7"/>
  <c r="I339" i="7" s="1"/>
  <c r="F339" i="7" s="1"/>
  <c r="H340" i="7"/>
  <c r="I340" i="7" s="1"/>
  <c r="H341" i="7"/>
  <c r="I341" i="7" s="1"/>
  <c r="F341" i="7" s="1"/>
  <c r="H342" i="7"/>
  <c r="I342" i="7" s="1"/>
  <c r="F342" i="7" s="1"/>
  <c r="H343" i="7"/>
  <c r="I343" i="7" s="1"/>
  <c r="H344" i="7"/>
  <c r="I344" i="7" s="1"/>
  <c r="F344" i="7" s="1"/>
  <c r="H345" i="7"/>
  <c r="I345" i="7" s="1"/>
  <c r="F345" i="7" s="1"/>
  <c r="H605" i="7"/>
  <c r="I605" i="7" s="1"/>
  <c r="H606" i="7"/>
  <c r="I606" i="7" s="1"/>
  <c r="F606" i="7" s="1"/>
  <c r="H607" i="7"/>
  <c r="I607" i="7" s="1"/>
  <c r="F607" i="7" s="1"/>
  <c r="H608" i="7"/>
  <c r="I608" i="7" s="1"/>
  <c r="F608" i="7" s="1"/>
  <c r="H609" i="7"/>
  <c r="I609" i="7" s="1"/>
  <c r="F609" i="7" s="1"/>
  <c r="H610" i="7"/>
  <c r="I610" i="7" s="1"/>
  <c r="F610" i="7" s="1"/>
  <c r="H611" i="7"/>
  <c r="I611" i="7" s="1"/>
  <c r="F611" i="7" s="1"/>
  <c r="H612" i="7"/>
  <c r="I612" i="7" s="1"/>
  <c r="H613" i="7"/>
  <c r="I613" i="7" s="1"/>
  <c r="F613" i="7" s="1"/>
  <c r="H614" i="7"/>
  <c r="I614" i="7" s="1"/>
  <c r="F614" i="7" s="1"/>
  <c r="H346" i="7"/>
  <c r="I346" i="7" s="1"/>
  <c r="F346" i="7" s="1"/>
  <c r="H347" i="7"/>
  <c r="I347" i="7" s="1"/>
  <c r="H348" i="7"/>
  <c r="I348" i="7" s="1"/>
  <c r="F348" i="7" s="1"/>
  <c r="H349" i="7"/>
  <c r="I349" i="7" s="1"/>
  <c r="F349" i="7" s="1"/>
  <c r="H350" i="7"/>
  <c r="I350" i="7" s="1"/>
  <c r="H351" i="7"/>
  <c r="I351" i="7" s="1"/>
  <c r="F351" i="7" s="1"/>
  <c r="H352" i="7"/>
  <c r="I352" i="7" s="1"/>
  <c r="F352" i="7" s="1"/>
  <c r="H353" i="7"/>
  <c r="I353" i="7" s="1"/>
  <c r="H354" i="7"/>
  <c r="I354" i="7" s="1"/>
  <c r="F354" i="7" s="1"/>
  <c r="H355" i="7"/>
  <c r="I355" i="7" s="1"/>
  <c r="F355" i="7" s="1"/>
  <c r="E355" i="7" s="1"/>
  <c r="H313" i="7"/>
  <c r="I313" i="7" s="1"/>
  <c r="F313" i="7" s="1"/>
  <c r="H314" i="7"/>
  <c r="I314" i="7" s="1"/>
  <c r="F314" i="7" s="1"/>
  <c r="H315" i="7"/>
  <c r="I315" i="7" s="1"/>
  <c r="F315" i="7" s="1"/>
  <c r="H316" i="7"/>
  <c r="I316" i="7" s="1"/>
  <c r="H317" i="7"/>
  <c r="I317" i="7" s="1"/>
  <c r="F317" i="7" s="1"/>
  <c r="H318" i="7"/>
  <c r="I318" i="7" s="1"/>
  <c r="F318" i="7" s="1"/>
  <c r="H319" i="7"/>
  <c r="I319" i="7" s="1"/>
  <c r="F319" i="7" s="1"/>
  <c r="H320" i="7"/>
  <c r="I320" i="7" s="1"/>
  <c r="F320" i="7" s="1"/>
  <c r="H321" i="7"/>
  <c r="I321" i="7" s="1"/>
  <c r="F321" i="7" s="1"/>
  <c r="H322" i="7"/>
  <c r="I322" i="7" s="1"/>
  <c r="F322" i="7" s="1"/>
  <c r="H323" i="7"/>
  <c r="I323" i="7" s="1"/>
  <c r="F323" i="7" s="1"/>
  <c r="H324" i="7"/>
  <c r="I324" i="7" s="1"/>
  <c r="F324" i="7" s="1"/>
  <c r="H325" i="7"/>
  <c r="I325" i="7" s="1"/>
  <c r="F325" i="7" s="1"/>
  <c r="H326" i="7"/>
  <c r="I326" i="7" s="1"/>
  <c r="F326" i="7" s="1"/>
  <c r="H327" i="7"/>
  <c r="I327" i="7" s="1"/>
  <c r="F327" i="7" s="1"/>
  <c r="H328" i="7"/>
  <c r="I328" i="7" s="1"/>
  <c r="F328" i="7" s="1"/>
  <c r="H329" i="7"/>
  <c r="I329" i="7" s="1"/>
  <c r="F329" i="7" s="1"/>
  <c r="H330" i="7"/>
  <c r="I330" i="7" s="1"/>
  <c r="H331" i="7"/>
  <c r="I331" i="7" s="1"/>
  <c r="F331" i="7" s="1"/>
  <c r="H332" i="7"/>
  <c r="I332" i="7" s="1"/>
  <c r="F332" i="7" s="1"/>
  <c r="H333" i="7"/>
  <c r="I333" i="7" s="1"/>
  <c r="F333" i="7" s="1"/>
  <c r="H334" i="7"/>
  <c r="I334" i="7" s="1"/>
  <c r="F334" i="7" s="1"/>
  <c r="H335" i="7"/>
  <c r="I335" i="7" s="1"/>
  <c r="F335" i="7" s="1"/>
  <c r="H336" i="7"/>
  <c r="I336" i="7" s="1"/>
  <c r="F336" i="7" s="1"/>
  <c r="H337" i="7"/>
  <c r="I337" i="7" s="1"/>
  <c r="F337" i="7" s="1"/>
  <c r="H338" i="7"/>
  <c r="I338" i="7" s="1"/>
  <c r="F338" i="7" s="1"/>
  <c r="H312" i="7"/>
  <c r="I312" i="7" s="1"/>
  <c r="F312" i="7" s="1"/>
  <c r="E312" i="7" s="1"/>
  <c r="D312" i="7" s="1"/>
  <c r="H288" i="7"/>
  <c r="I288" i="7" s="1"/>
  <c r="F288" i="7" s="1"/>
  <c r="H289" i="7"/>
  <c r="I289" i="7" s="1"/>
  <c r="F289" i="7" s="1"/>
  <c r="H290" i="7"/>
  <c r="I290" i="7" s="1"/>
  <c r="F290" i="7" s="1"/>
  <c r="H291" i="7"/>
  <c r="I291" i="7" s="1"/>
  <c r="F291" i="7" s="1"/>
  <c r="H292" i="7"/>
  <c r="I292" i="7" s="1"/>
  <c r="H293" i="7"/>
  <c r="I293" i="7" s="1"/>
  <c r="F293" i="7" s="1"/>
  <c r="H294" i="7"/>
  <c r="I294" i="7" s="1"/>
  <c r="F294" i="7" s="1"/>
  <c r="H295" i="7"/>
  <c r="I295" i="7" s="1"/>
  <c r="F295" i="7" s="1"/>
  <c r="H296" i="7"/>
  <c r="I296" i="7" s="1"/>
  <c r="F296" i="7" s="1"/>
  <c r="H297" i="7"/>
  <c r="I297" i="7" s="1"/>
  <c r="F297" i="7" s="1"/>
  <c r="H298" i="7"/>
  <c r="I298" i="7" s="1"/>
  <c r="H299" i="7"/>
  <c r="I299" i="7" s="1"/>
  <c r="F299" i="7" s="1"/>
  <c r="H300" i="7"/>
  <c r="I300" i="7" s="1"/>
  <c r="F300" i="7" s="1"/>
  <c r="H301" i="7"/>
  <c r="I301" i="7" s="1"/>
  <c r="F301" i="7" s="1"/>
  <c r="H302" i="7"/>
  <c r="I302" i="7" s="1"/>
  <c r="F302" i="7" s="1"/>
  <c r="H303" i="7"/>
  <c r="I303" i="7" s="1"/>
  <c r="F303" i="7" s="1"/>
  <c r="H304" i="7"/>
  <c r="I304" i="7" s="1"/>
  <c r="F304" i="7" s="1"/>
  <c r="H305" i="7"/>
  <c r="I305" i="7" s="1"/>
  <c r="F305" i="7" s="1"/>
  <c r="H306" i="7"/>
  <c r="I306" i="7" s="1"/>
  <c r="F306" i="7" s="1"/>
  <c r="H307" i="7"/>
  <c r="I307" i="7" s="1"/>
  <c r="H308" i="7"/>
  <c r="I308" i="7" s="1"/>
  <c r="F308" i="7" s="1"/>
  <c r="H309" i="7"/>
  <c r="I309" i="7" s="1"/>
  <c r="F309" i="7" s="1"/>
  <c r="H287" i="7"/>
  <c r="I287" i="7" s="1"/>
  <c r="H129" i="7"/>
  <c r="I129" i="7" s="1"/>
  <c r="F129" i="7" s="1"/>
  <c r="E129" i="7" s="1"/>
  <c r="H228" i="7"/>
  <c r="I228" i="7" s="1"/>
  <c r="H229" i="7"/>
  <c r="I229" i="7" s="1"/>
  <c r="F229" i="7" s="1"/>
  <c r="E229" i="7" s="1"/>
  <c r="H230" i="7"/>
  <c r="I230" i="7" s="1"/>
  <c r="F230" i="7" s="1"/>
  <c r="H265" i="7"/>
  <c r="I265" i="7" s="1"/>
  <c r="F265" i="7" s="1"/>
  <c r="H266" i="7"/>
  <c r="I266" i="7" s="1"/>
  <c r="F266" i="7" s="1"/>
  <c r="H267" i="7"/>
  <c r="I267" i="7" s="1"/>
  <c r="H268" i="7"/>
  <c r="I268" i="7" s="1"/>
  <c r="F268" i="7" s="1"/>
  <c r="H269" i="7"/>
  <c r="I269" i="7" s="1"/>
  <c r="F269" i="7" s="1"/>
  <c r="H270" i="7"/>
  <c r="I270" i="7" s="1"/>
  <c r="H271" i="7"/>
  <c r="I271" i="7" s="1"/>
  <c r="H272" i="7"/>
  <c r="I272" i="7" s="1"/>
  <c r="F272" i="7" s="1"/>
  <c r="H273" i="7"/>
  <c r="I273" i="7" s="1"/>
  <c r="F273" i="7" s="1"/>
  <c r="H274" i="7"/>
  <c r="I274" i="7" s="1"/>
  <c r="F274" i="7" s="1"/>
  <c r="H275" i="7"/>
  <c r="I275" i="7" s="1"/>
  <c r="H276" i="7"/>
  <c r="I276" i="7" s="1"/>
  <c r="F276" i="7" s="1"/>
  <c r="H277" i="7"/>
  <c r="I277" i="7" s="1"/>
  <c r="F277" i="7" s="1"/>
  <c r="H278" i="7"/>
  <c r="I278" i="7" s="1"/>
  <c r="F278" i="7" s="1"/>
  <c r="H279" i="7"/>
  <c r="I279" i="7" s="1"/>
  <c r="H280" i="7"/>
  <c r="I280" i="7" s="1"/>
  <c r="F280" i="7" s="1"/>
  <c r="H281" i="7"/>
  <c r="I281" i="7" s="1"/>
  <c r="F281" i="7" s="1"/>
  <c r="H282" i="7"/>
  <c r="I282" i="7" s="1"/>
  <c r="F282" i="7" s="1"/>
  <c r="H283" i="7"/>
  <c r="I283" i="7" s="1"/>
  <c r="F283" i="7" s="1"/>
  <c r="H284" i="7"/>
  <c r="I284" i="7" s="1"/>
  <c r="F284" i="7" s="1"/>
  <c r="H244" i="7"/>
  <c r="I244" i="7" s="1"/>
  <c r="H245" i="7"/>
  <c r="I245" i="7" s="1"/>
  <c r="F245" i="7" s="1"/>
  <c r="H246" i="7"/>
  <c r="I246" i="7" s="1"/>
  <c r="F246" i="7" s="1"/>
  <c r="H247" i="7"/>
  <c r="I247" i="7" s="1"/>
  <c r="F247" i="7" s="1"/>
  <c r="H248" i="7"/>
  <c r="I248" i="7" s="1"/>
  <c r="H249" i="7"/>
  <c r="I249" i="7" s="1"/>
  <c r="F249" i="7" s="1"/>
  <c r="H250" i="7"/>
  <c r="I250" i="7" s="1"/>
  <c r="F250" i="7" s="1"/>
  <c r="H251" i="7"/>
  <c r="I251" i="7" s="1"/>
  <c r="F251" i="7" s="1"/>
  <c r="H252" i="7"/>
  <c r="I252" i="7" s="1"/>
  <c r="F252" i="7" s="1"/>
  <c r="H258" i="7"/>
  <c r="I258" i="7" s="1"/>
  <c r="H259" i="7"/>
  <c r="I259" i="7" s="1"/>
  <c r="F259" i="7" s="1"/>
  <c r="H260" i="7"/>
  <c r="I260" i="7" s="1"/>
  <c r="F260" i="7" s="1"/>
  <c r="H261" i="7"/>
  <c r="I261" i="7" s="1"/>
  <c r="F261" i="7" s="1"/>
  <c r="H262" i="7"/>
  <c r="I262" i="7" s="1"/>
  <c r="F262" i="7" s="1"/>
  <c r="H600" i="7"/>
  <c r="I600" i="7" s="1"/>
  <c r="H601" i="7"/>
  <c r="I601" i="7" s="1"/>
  <c r="F601" i="7" s="1"/>
  <c r="H602" i="7"/>
  <c r="I602" i="7" s="1"/>
  <c r="F602" i="7" s="1"/>
  <c r="H603" i="7"/>
  <c r="I603" i="7" s="1"/>
  <c r="F603" i="7" s="1"/>
  <c r="H604" i="7"/>
  <c r="I604" i="7" s="1"/>
  <c r="F604" i="7" s="1"/>
  <c r="E604" i="7" s="1"/>
  <c r="H242" i="7"/>
  <c r="I242" i="7" s="1"/>
  <c r="F242" i="7" s="1"/>
  <c r="H263" i="7"/>
  <c r="I263" i="7" s="1"/>
  <c r="H264" i="7"/>
  <c r="I264" i="7" s="1"/>
  <c r="F264" i="7" s="1"/>
  <c r="H219" i="7"/>
  <c r="I219" i="7" s="1"/>
  <c r="E219" i="7" s="1"/>
  <c r="H220" i="7"/>
  <c r="I220" i="7" s="1"/>
  <c r="F220" i="7" s="1"/>
  <c r="H221" i="7"/>
  <c r="I221" i="7" s="1"/>
  <c r="E221" i="7" s="1"/>
  <c r="H223" i="7"/>
  <c r="I223" i="7" s="1"/>
  <c r="H224" i="7"/>
  <c r="I224" i="7" s="1"/>
  <c r="F224" i="7" s="1"/>
  <c r="E224" i="7" s="1"/>
  <c r="H225" i="7"/>
  <c r="I225" i="7" s="1"/>
  <c r="H226" i="7"/>
  <c r="I226" i="7" s="1"/>
  <c r="E226" i="7" s="1"/>
  <c r="H227" i="7"/>
  <c r="I227" i="7" s="1"/>
  <c r="F227" i="7" s="1"/>
  <c r="H231" i="7"/>
  <c r="I231" i="7" s="1"/>
  <c r="H232" i="7"/>
  <c r="I232" i="7" s="1"/>
  <c r="F232" i="7" s="1"/>
  <c r="H233" i="7"/>
  <c r="I233" i="7" s="1"/>
  <c r="F233" i="7" s="1"/>
  <c r="E233" i="7" s="1"/>
  <c r="H234" i="7"/>
  <c r="I234" i="7" s="1"/>
  <c r="H235" i="7"/>
  <c r="I235" i="7" s="1"/>
  <c r="F235" i="7" s="1"/>
  <c r="E235" i="7" s="1"/>
  <c r="H236" i="7"/>
  <c r="I236" i="7" s="1"/>
  <c r="F236" i="7" s="1"/>
  <c r="H237" i="7"/>
  <c r="I237" i="7" s="1"/>
  <c r="F237" i="7" s="1"/>
  <c r="E237" i="7" s="1"/>
  <c r="D237" i="7" s="1"/>
  <c r="H238" i="7"/>
  <c r="I238" i="7" s="1"/>
  <c r="F238" i="7" s="1"/>
  <c r="E238" i="7" s="1"/>
  <c r="D238" i="7" s="1"/>
  <c r="H239" i="7"/>
  <c r="I239" i="7" s="1"/>
  <c r="E239" i="7" s="1"/>
  <c r="D239" i="7" s="1"/>
  <c r="H240" i="7"/>
  <c r="I240" i="7" s="1"/>
  <c r="F240" i="7" s="1"/>
  <c r="E240" i="7" s="1"/>
  <c r="D240" i="7" s="1"/>
  <c r="H241" i="7"/>
  <c r="I241" i="7" s="1"/>
  <c r="F241" i="7" s="1"/>
  <c r="E241" i="7" s="1"/>
  <c r="H243" i="7"/>
  <c r="I243" i="7" s="1"/>
  <c r="F243" i="7" s="1"/>
  <c r="E243" i="7" s="1"/>
  <c r="D243" i="7" s="1"/>
  <c r="H196" i="7"/>
  <c r="H197" i="7"/>
  <c r="H198" i="7"/>
  <c r="I198" i="7" s="1"/>
  <c r="H199" i="7"/>
  <c r="I199" i="7" s="1"/>
  <c r="F199" i="7" s="1"/>
  <c r="H200" i="7"/>
  <c r="I200" i="7" s="1"/>
  <c r="F200" i="7" s="1"/>
  <c r="H201" i="7"/>
  <c r="I201" i="7" s="1"/>
  <c r="F201" i="7" s="1"/>
  <c r="H202" i="7"/>
  <c r="I202" i="7" s="1"/>
  <c r="F202" i="7" s="1"/>
  <c r="H203" i="7"/>
  <c r="I203" i="7" s="1"/>
  <c r="H204" i="7"/>
  <c r="I204" i="7" s="1"/>
  <c r="H205" i="7"/>
  <c r="I205" i="7" s="1"/>
  <c r="H206" i="7"/>
  <c r="I206" i="7" s="1"/>
  <c r="F206" i="7" s="1"/>
  <c r="H207" i="7"/>
  <c r="I207" i="7" s="1"/>
  <c r="F207" i="7" s="1"/>
  <c r="H208" i="7"/>
  <c r="I208" i="7" s="1"/>
  <c r="H209" i="7"/>
  <c r="I209" i="7" s="1"/>
  <c r="H210" i="7"/>
  <c r="I210" i="7" s="1"/>
  <c r="F210" i="7" s="1"/>
  <c r="H211" i="7"/>
  <c r="I211" i="7" s="1"/>
  <c r="F211" i="7" s="1"/>
  <c r="H212" i="7"/>
  <c r="I212" i="7" s="1"/>
  <c r="H213" i="7"/>
  <c r="I213" i="7" s="1"/>
  <c r="H214" i="7"/>
  <c r="I214" i="7" s="1"/>
  <c r="H215" i="7"/>
  <c r="I215" i="7" s="1"/>
  <c r="H216" i="7"/>
  <c r="I216" i="7" s="1"/>
  <c r="F216" i="7" s="1"/>
  <c r="H217" i="7"/>
  <c r="I217" i="7" s="1"/>
  <c r="F217" i="7" s="1"/>
  <c r="E217" i="7" s="1"/>
  <c r="H218" i="7"/>
  <c r="I218" i="7" s="1"/>
  <c r="I196" i="7"/>
  <c r="F196" i="7" s="1"/>
  <c r="I197" i="7"/>
  <c r="H145" i="7"/>
  <c r="I145" i="7" s="1"/>
  <c r="F145" i="7" s="1"/>
  <c r="H146" i="7"/>
  <c r="I146" i="7" s="1"/>
  <c r="F146" i="7" s="1"/>
  <c r="E146" i="7" s="1"/>
  <c r="H147" i="7"/>
  <c r="I147" i="7" s="1"/>
  <c r="F147" i="7" s="1"/>
  <c r="H148" i="7"/>
  <c r="I148" i="7" s="1"/>
  <c r="F148" i="7" s="1"/>
  <c r="H149" i="7"/>
  <c r="I149" i="7" s="1"/>
  <c r="H150" i="7"/>
  <c r="I150" i="7" s="1"/>
  <c r="F150" i="7" s="1"/>
  <c r="E150" i="7" s="1"/>
  <c r="H159" i="7"/>
  <c r="I159" i="7" s="1"/>
  <c r="H151" i="7"/>
  <c r="I151" i="7" s="1"/>
  <c r="F151" i="7" s="1"/>
  <c r="H152" i="7"/>
  <c r="I152" i="7" s="1"/>
  <c r="F152" i="7" s="1"/>
  <c r="H153" i="7"/>
  <c r="I153" i="7" s="1"/>
  <c r="F153" i="7" s="1"/>
  <c r="E153" i="7" s="1"/>
  <c r="H154" i="7"/>
  <c r="I154" i="7" s="1"/>
  <c r="F154" i="7" s="1"/>
  <c r="H160" i="7"/>
  <c r="I160" i="7" s="1"/>
  <c r="H161" i="7"/>
  <c r="I161" i="7" s="1"/>
  <c r="H162" i="7"/>
  <c r="I162" i="7" s="1"/>
  <c r="E162" i="7" s="1"/>
  <c r="H163" i="7"/>
  <c r="I163" i="7" s="1"/>
  <c r="H155" i="7"/>
  <c r="I155" i="7" s="1"/>
  <c r="F155" i="7" s="1"/>
  <c r="H156" i="7"/>
  <c r="I156" i="7" s="1"/>
  <c r="F156" i="7" s="1"/>
  <c r="H184" i="7"/>
  <c r="I184" i="7" s="1"/>
  <c r="F184" i="7" s="1"/>
  <c r="E184" i="7" s="1"/>
  <c r="H185" i="7"/>
  <c r="I185" i="7" s="1"/>
  <c r="F185" i="7" s="1"/>
  <c r="H186" i="7"/>
  <c r="I186" i="7" s="1"/>
  <c r="F186" i="7" s="1"/>
  <c r="E186" i="7" s="1"/>
  <c r="H187" i="7"/>
  <c r="I187" i="7" s="1"/>
  <c r="F187" i="7" s="1"/>
  <c r="H188" i="7"/>
  <c r="I188" i="7" s="1"/>
  <c r="H189" i="7"/>
  <c r="I189" i="7" s="1"/>
  <c r="F189" i="7" s="1"/>
  <c r="H190" i="7"/>
  <c r="I190" i="7" s="1"/>
  <c r="F190" i="7" s="1"/>
  <c r="E190" i="7" s="1"/>
  <c r="H191" i="7"/>
  <c r="I191" i="7" s="1"/>
  <c r="F191" i="7" s="1"/>
  <c r="H192" i="7"/>
  <c r="I192" i="7" s="1"/>
  <c r="F192" i="7" s="1"/>
  <c r="H193" i="7"/>
  <c r="I193" i="7" s="1"/>
  <c r="F193" i="7" s="1"/>
  <c r="H194" i="7"/>
  <c r="I194" i="7" s="1"/>
  <c r="F194" i="7" s="1"/>
  <c r="H195" i="7"/>
  <c r="I195" i="7" s="1"/>
  <c r="F195" i="7" s="1"/>
  <c r="H122" i="7"/>
  <c r="I122" i="7" s="1"/>
  <c r="F122" i="7" s="1"/>
  <c r="E122" i="7" s="1"/>
  <c r="D122" i="7" s="1"/>
  <c r="H123" i="7"/>
  <c r="I123" i="7" s="1"/>
  <c r="F123" i="7" s="1"/>
  <c r="E123" i="7" s="1"/>
  <c r="D123" i="7" s="1"/>
  <c r="H126" i="7"/>
  <c r="I126" i="7" s="1"/>
  <c r="F126" i="7" s="1"/>
  <c r="E126" i="7" s="1"/>
  <c r="H127" i="7"/>
  <c r="I127" i="7" s="1"/>
  <c r="F127" i="7" s="1"/>
  <c r="E127" i="7" s="1"/>
  <c r="H128" i="7"/>
  <c r="I128" i="7" s="1"/>
  <c r="F128" i="7" s="1"/>
  <c r="E128" i="7" s="1"/>
  <c r="H130" i="7"/>
  <c r="I130" i="7" s="1"/>
  <c r="F130" i="7" s="1"/>
  <c r="E130" i="7" s="1"/>
  <c r="H131" i="7"/>
  <c r="I131" i="7" s="1"/>
  <c r="F131" i="7" s="1"/>
  <c r="E131" i="7" s="1"/>
  <c r="H132" i="7"/>
  <c r="I132" i="7" s="1"/>
  <c r="F132" i="7" s="1"/>
  <c r="E132" i="7" s="1"/>
  <c r="H133" i="7"/>
  <c r="I133" i="7" s="1"/>
  <c r="H134" i="7"/>
  <c r="I134" i="7" s="1"/>
  <c r="F134" i="7" s="1"/>
  <c r="E134" i="7" s="1"/>
  <c r="H135" i="7"/>
  <c r="I135" i="7" s="1"/>
  <c r="F135" i="7" s="1"/>
  <c r="E135" i="7" s="1"/>
  <c r="H136" i="7"/>
  <c r="I136" i="7" s="1"/>
  <c r="F136" i="7" s="1"/>
  <c r="E136" i="7" s="1"/>
  <c r="H137" i="7"/>
  <c r="I137" i="7" s="1"/>
  <c r="H138" i="7"/>
  <c r="I138" i="7" s="1"/>
  <c r="F138" i="7" s="1"/>
  <c r="E138" i="7" s="1"/>
  <c r="H139" i="7"/>
  <c r="I139" i="7" s="1"/>
  <c r="F139" i="7" s="1"/>
  <c r="E139" i="7" s="1"/>
  <c r="H140" i="7"/>
  <c r="I140" i="7" s="1"/>
  <c r="F140" i="7" s="1"/>
  <c r="E140" i="7" s="1"/>
  <c r="H141" i="7"/>
  <c r="I141" i="7" s="1"/>
  <c r="F141" i="7" s="1"/>
  <c r="E141" i="7" s="1"/>
  <c r="H142" i="7"/>
  <c r="I142" i="7" s="1"/>
  <c r="F142" i="7" s="1"/>
  <c r="E142" i="7" s="1"/>
  <c r="H143" i="7"/>
  <c r="I143" i="7" s="1"/>
  <c r="F143" i="7" s="1"/>
  <c r="E143" i="7" s="1"/>
  <c r="H144" i="7"/>
  <c r="I144" i="7" s="1"/>
  <c r="F144" i="7" s="1"/>
  <c r="H102" i="7"/>
  <c r="I102" i="7" s="1"/>
  <c r="F102" i="7" s="1"/>
  <c r="E102" i="7" s="1"/>
  <c r="H103" i="7"/>
  <c r="I103" i="7" s="1"/>
  <c r="F103" i="7" s="1"/>
  <c r="H104" i="7"/>
  <c r="I104" i="7" s="1"/>
  <c r="F104" i="7" s="1"/>
  <c r="E104" i="7" s="1"/>
  <c r="H105" i="7"/>
  <c r="I105" i="7" s="1"/>
  <c r="F105" i="7" s="1"/>
  <c r="E105" i="7" s="1"/>
  <c r="H106" i="7"/>
  <c r="I106" i="7" s="1"/>
  <c r="H107" i="7"/>
  <c r="I107" i="7" s="1"/>
  <c r="F107" i="7" s="1"/>
  <c r="H108" i="7"/>
  <c r="I108" i="7" s="1"/>
  <c r="F108" i="7" s="1"/>
  <c r="H109" i="7"/>
  <c r="I109" i="7" s="1"/>
  <c r="F109" i="7" s="1"/>
  <c r="H112" i="7"/>
  <c r="I112" i="7" s="1"/>
  <c r="H113" i="7"/>
  <c r="I113" i="7" s="1"/>
  <c r="F113" i="7" s="1"/>
  <c r="H114" i="7"/>
  <c r="I114" i="7" s="1"/>
  <c r="F114" i="7" s="1"/>
  <c r="H115" i="7"/>
  <c r="I115" i="7" s="1"/>
  <c r="F115" i="7" s="1"/>
  <c r="E115" i="7" s="1"/>
  <c r="D115" i="7" s="1"/>
  <c r="H116" i="7"/>
  <c r="I116" i="7" s="1"/>
  <c r="H117" i="7"/>
  <c r="I117" i="7" s="1"/>
  <c r="F117" i="7" s="1"/>
  <c r="E117" i="7" s="1"/>
  <c r="D117" i="7" s="1"/>
  <c r="H118" i="7"/>
  <c r="I118" i="7" s="1"/>
  <c r="F118" i="7" s="1"/>
  <c r="E118" i="7" s="1"/>
  <c r="D118" i="7" s="1"/>
  <c r="H119" i="7"/>
  <c r="I119" i="7" s="1"/>
  <c r="F119" i="7" s="1"/>
  <c r="E119" i="7" s="1"/>
  <c r="D119" i="7" s="1"/>
  <c r="H120" i="7"/>
  <c r="I120" i="7" s="1"/>
  <c r="F120" i="7" s="1"/>
  <c r="E120" i="7" s="1"/>
  <c r="D120" i="7" s="1"/>
  <c r="H121" i="7"/>
  <c r="I121" i="7" s="1"/>
  <c r="F121" i="7" s="1"/>
  <c r="E121" i="7" s="1"/>
  <c r="D121" i="7" s="1"/>
  <c r="H77" i="7"/>
  <c r="I77" i="7" s="1"/>
  <c r="F77" i="7" s="1"/>
  <c r="H78" i="7"/>
  <c r="I78" i="7" s="1"/>
  <c r="F78" i="7" s="1"/>
  <c r="E78" i="7" s="1"/>
  <c r="H79" i="7"/>
  <c r="I79" i="7" s="1"/>
  <c r="F79" i="7" s="1"/>
  <c r="H80" i="7"/>
  <c r="I80" i="7" s="1"/>
  <c r="F80" i="7" s="1"/>
  <c r="E80" i="7" s="1"/>
  <c r="H81" i="7"/>
  <c r="I81" i="7" s="1"/>
  <c r="F81" i="7" s="1"/>
  <c r="H82" i="7"/>
  <c r="I82" i="7" s="1"/>
  <c r="F82" i="7" s="1"/>
  <c r="E82" i="7" s="1"/>
  <c r="H83" i="7"/>
  <c r="I83" i="7" s="1"/>
  <c r="H84" i="7"/>
  <c r="I84" i="7" s="1"/>
  <c r="F84" i="7" s="1"/>
  <c r="E84" i="7" s="1"/>
  <c r="H85" i="7"/>
  <c r="I85" i="7" s="1"/>
  <c r="F85" i="7" s="1"/>
  <c r="H86" i="7"/>
  <c r="I86" i="7" s="1"/>
  <c r="F86" i="7" s="1"/>
  <c r="E86" i="7" s="1"/>
  <c r="H87" i="7"/>
  <c r="I87" i="7" s="1"/>
  <c r="H88" i="7"/>
  <c r="I88" i="7" s="1"/>
  <c r="F88" i="7" s="1"/>
  <c r="E88" i="7" s="1"/>
  <c r="H89" i="7"/>
  <c r="I89" i="7" s="1"/>
  <c r="F89" i="7" s="1"/>
  <c r="H90" i="7"/>
  <c r="I90" i="7" s="1"/>
  <c r="F90" i="7" s="1"/>
  <c r="E90" i="7" s="1"/>
  <c r="H91" i="7"/>
  <c r="I91" i="7" s="1"/>
  <c r="H92" i="7"/>
  <c r="I92" i="7" s="1"/>
  <c r="F92" i="7" s="1"/>
  <c r="E92" i="7" s="1"/>
  <c r="H93" i="7"/>
  <c r="I93" i="7" s="1"/>
  <c r="F93" i="7" s="1"/>
  <c r="H94" i="7"/>
  <c r="I94" i="7" s="1"/>
  <c r="F94" i="7" s="1"/>
  <c r="E94" i="7" s="1"/>
  <c r="H95" i="7"/>
  <c r="I95" i="7" s="1"/>
  <c r="F95" i="7" s="1"/>
  <c r="H96" i="7"/>
  <c r="I96" i="7" s="1"/>
  <c r="F96" i="7" s="1"/>
  <c r="E96" i="7" s="1"/>
  <c r="H97" i="7"/>
  <c r="I97" i="7" s="1"/>
  <c r="F97" i="7" s="1"/>
  <c r="H98" i="7"/>
  <c r="I98" i="7" s="1"/>
  <c r="F98" i="7" s="1"/>
  <c r="E98" i="7" s="1"/>
  <c r="H99" i="7"/>
  <c r="I99" i="7" s="1"/>
  <c r="H100" i="7"/>
  <c r="I100" i="7" s="1"/>
  <c r="F100" i="7" s="1"/>
  <c r="E100" i="7" s="1"/>
  <c r="H101" i="7"/>
  <c r="I101" i="7" s="1"/>
  <c r="F101" i="7" s="1"/>
  <c r="H52" i="7"/>
  <c r="I52" i="7" s="1"/>
  <c r="F52" i="7" s="1"/>
  <c r="H53" i="7"/>
  <c r="I53" i="7" s="1"/>
  <c r="F53" i="7" s="1"/>
  <c r="E53" i="7" s="1"/>
  <c r="D53" i="7" s="1"/>
  <c r="H54" i="7"/>
  <c r="I54" i="7" s="1"/>
  <c r="F54" i="7" s="1"/>
  <c r="H55" i="7"/>
  <c r="I55" i="7" s="1"/>
  <c r="F55" i="7" s="1"/>
  <c r="E55" i="7" s="1"/>
  <c r="D55" i="7" s="1"/>
  <c r="H56" i="7"/>
  <c r="I56" i="7" s="1"/>
  <c r="F56" i="7" s="1"/>
  <c r="H57" i="7"/>
  <c r="I57" i="7" s="1"/>
  <c r="H58" i="7"/>
  <c r="I58" i="7" s="1"/>
  <c r="F58" i="7" s="1"/>
  <c r="H59" i="7"/>
  <c r="I59" i="7" s="1"/>
  <c r="F59" i="7" s="1"/>
  <c r="E59" i="7" s="1"/>
  <c r="D59" i="7" s="1"/>
  <c r="H60" i="7"/>
  <c r="I60" i="7" s="1"/>
  <c r="F60" i="7" s="1"/>
  <c r="H61" i="7"/>
  <c r="I61" i="7" s="1"/>
  <c r="F61" i="7" s="1"/>
  <c r="E61" i="7" s="1"/>
  <c r="D61" i="7" s="1"/>
  <c r="H62" i="7"/>
  <c r="I62" i="7" s="1"/>
  <c r="F62" i="7" s="1"/>
  <c r="H63" i="7"/>
  <c r="I63" i="7" s="1"/>
  <c r="F63" i="7" s="1"/>
  <c r="E63" i="7" s="1"/>
  <c r="D63" i="7" s="1"/>
  <c r="H64" i="7"/>
  <c r="I64" i="7" s="1"/>
  <c r="H65" i="7"/>
  <c r="I65" i="7" s="1"/>
  <c r="F65" i="7" s="1"/>
  <c r="E65" i="7" s="1"/>
  <c r="D65" i="7" s="1"/>
  <c r="H66" i="7"/>
  <c r="I66" i="7" s="1"/>
  <c r="F66" i="7" s="1"/>
  <c r="H67" i="7"/>
  <c r="I67" i="7" s="1"/>
  <c r="F67" i="7" s="1"/>
  <c r="E67" i="7" s="1"/>
  <c r="D67" i="7" s="1"/>
  <c r="H68" i="7"/>
  <c r="I68" i="7" s="1"/>
  <c r="F68" i="7" s="1"/>
  <c r="H69" i="7"/>
  <c r="I69" i="7" s="1"/>
  <c r="H70" i="7"/>
  <c r="I70" i="7" s="1"/>
  <c r="F70" i="7" s="1"/>
  <c r="H71" i="7"/>
  <c r="I71" i="7" s="1"/>
  <c r="F71" i="7" s="1"/>
  <c r="E71" i="7" s="1"/>
  <c r="D71" i="7" s="1"/>
  <c r="H72" i="7"/>
  <c r="I72" i="7" s="1"/>
  <c r="F72" i="7" s="1"/>
  <c r="H73" i="7"/>
  <c r="I73" i="7" s="1"/>
  <c r="F73" i="7" s="1"/>
  <c r="E73" i="7" s="1"/>
  <c r="D73" i="7" s="1"/>
  <c r="H74" i="7"/>
  <c r="I74" i="7" s="1"/>
  <c r="F74" i="7" s="1"/>
  <c r="H75" i="7"/>
  <c r="I75" i="7" s="1"/>
  <c r="F75" i="7" s="1"/>
  <c r="E75" i="7" s="1"/>
  <c r="D75" i="7" s="1"/>
  <c r="H76" i="7"/>
  <c r="I76" i="7" s="1"/>
  <c r="I31" i="7"/>
  <c r="H32" i="7"/>
  <c r="I32" i="7" s="1"/>
  <c r="H33" i="7"/>
  <c r="I33" i="7" s="1"/>
  <c r="H34" i="7"/>
  <c r="I34" i="7" s="1"/>
  <c r="F34" i="7" s="1"/>
  <c r="H35" i="7"/>
  <c r="I35" i="7" s="1"/>
  <c r="F35" i="7" s="1"/>
  <c r="H36" i="7"/>
  <c r="I36" i="7" s="1"/>
  <c r="F36" i="7" s="1"/>
  <c r="H37" i="7"/>
  <c r="I37" i="7" s="1"/>
  <c r="F37" i="7" s="1"/>
  <c r="H38" i="7"/>
  <c r="I38" i="7" s="1"/>
  <c r="F38" i="7" s="1"/>
  <c r="H39" i="7"/>
  <c r="I39" i="7" s="1"/>
  <c r="F39" i="7" s="1"/>
  <c r="H40" i="7"/>
  <c r="I40" i="7" s="1"/>
  <c r="F40" i="7" s="1"/>
  <c r="H41" i="7"/>
  <c r="I41" i="7" s="1"/>
  <c r="H42" i="7"/>
  <c r="I42" i="7" s="1"/>
  <c r="F42" i="7" s="1"/>
  <c r="H43" i="7"/>
  <c r="I43" i="7" s="1"/>
  <c r="F43" i="7" s="1"/>
  <c r="H44" i="7"/>
  <c r="I44" i="7" s="1"/>
  <c r="F44" i="7" s="1"/>
  <c r="H45" i="7"/>
  <c r="I45" i="7" s="1"/>
  <c r="F45" i="7" s="1"/>
  <c r="H46" i="7"/>
  <c r="I46" i="7" s="1"/>
  <c r="F46" i="7" s="1"/>
  <c r="H47" i="7"/>
  <c r="I47" i="7" s="1"/>
  <c r="F47" i="7" s="1"/>
  <c r="H48" i="7"/>
  <c r="I48" i="7" s="1"/>
  <c r="F48" i="7" s="1"/>
  <c r="H49" i="7"/>
  <c r="I49" i="7" s="1"/>
  <c r="H50" i="7"/>
  <c r="I50" i="7" s="1"/>
  <c r="F50" i="7" s="1"/>
  <c r="H51" i="7"/>
  <c r="I51" i="7" s="1"/>
  <c r="F51" i="7" s="1"/>
  <c r="I14" i="7"/>
  <c r="I15" i="7"/>
  <c r="F15" i="7" s="1"/>
  <c r="I16" i="7"/>
  <c r="F16" i="7" s="1"/>
  <c r="I17" i="7"/>
  <c r="F17" i="7" s="1"/>
  <c r="I18" i="7"/>
  <c r="F18" i="7" s="1"/>
  <c r="I19" i="7"/>
  <c r="F19" i="7" s="1"/>
  <c r="I20" i="7"/>
  <c r="I21" i="7"/>
  <c r="I22" i="7"/>
  <c r="F22" i="7" s="1"/>
  <c r="I23" i="7"/>
  <c r="F23" i="7" s="1"/>
  <c r="I24" i="7"/>
  <c r="F24" i="7" s="1"/>
  <c r="I25" i="7"/>
  <c r="F25" i="7" s="1"/>
  <c r="I26" i="7"/>
  <c r="F26" i="7" s="1"/>
  <c r="I27" i="7"/>
  <c r="I28" i="7"/>
  <c r="I29" i="7"/>
  <c r="I30" i="7"/>
  <c r="H13" i="7"/>
  <c r="I13" i="7" s="1"/>
  <c r="E13" i="7" s="1"/>
  <c r="D13" i="7" s="1"/>
  <c r="H213" i="27"/>
  <c r="I213" i="27" s="1"/>
  <c r="F213" i="27" s="1"/>
  <c r="H214" i="27"/>
  <c r="I214" i="27" s="1"/>
  <c r="F214" i="27" s="1"/>
  <c r="H215" i="27"/>
  <c r="I215" i="27" s="1"/>
  <c r="F215" i="27" s="1"/>
  <c r="H216" i="27"/>
  <c r="I216" i="27" s="1"/>
  <c r="F216" i="27" s="1"/>
  <c r="H217" i="27"/>
  <c r="I217" i="27" s="1"/>
  <c r="F217" i="27" s="1"/>
  <c r="H218" i="27"/>
  <c r="I218" i="27" s="1"/>
  <c r="F218" i="27" s="1"/>
  <c r="H219" i="27"/>
  <c r="I219" i="27" s="1"/>
  <c r="F219" i="27" s="1"/>
  <c r="H220" i="27"/>
  <c r="I220" i="27" s="1"/>
  <c r="F220" i="27" s="1"/>
  <c r="H197" i="27"/>
  <c r="I197" i="27" s="1"/>
  <c r="F197" i="27" s="1"/>
  <c r="H198" i="27"/>
  <c r="I198" i="27" s="1"/>
  <c r="F198" i="27" s="1"/>
  <c r="H199" i="27"/>
  <c r="I199" i="27" s="1"/>
  <c r="F199" i="27" s="1"/>
  <c r="H200" i="27"/>
  <c r="I200" i="27" s="1"/>
  <c r="F200" i="27" s="1"/>
  <c r="H201" i="27"/>
  <c r="I201" i="27" s="1"/>
  <c r="F201" i="27" s="1"/>
  <c r="H202" i="27"/>
  <c r="I202" i="27" s="1"/>
  <c r="F202" i="27" s="1"/>
  <c r="H203" i="27"/>
  <c r="I203" i="27" s="1"/>
  <c r="F203" i="27" s="1"/>
  <c r="H204" i="27"/>
  <c r="I204" i="27" s="1"/>
  <c r="F204" i="27" s="1"/>
  <c r="H205" i="27"/>
  <c r="I205" i="27" s="1"/>
  <c r="F205" i="27" s="1"/>
  <c r="H206" i="27"/>
  <c r="I206" i="27" s="1"/>
  <c r="F206" i="27" s="1"/>
  <c r="H207" i="27"/>
  <c r="I207" i="27" s="1"/>
  <c r="F207" i="27" s="1"/>
  <c r="H208" i="27"/>
  <c r="I208" i="27" s="1"/>
  <c r="F208" i="27" s="1"/>
  <c r="H209" i="27"/>
  <c r="I209" i="27" s="1"/>
  <c r="F209" i="27" s="1"/>
  <c r="H210" i="27"/>
  <c r="I210" i="27" s="1"/>
  <c r="F210" i="27" s="1"/>
  <c r="H149" i="27"/>
  <c r="I149" i="27" s="1"/>
  <c r="F149" i="27" s="1"/>
  <c r="H150" i="27"/>
  <c r="I150" i="27" s="1"/>
  <c r="F150" i="27" s="1"/>
  <c r="H151" i="27"/>
  <c r="I151" i="27" s="1"/>
  <c r="F151" i="27" s="1"/>
  <c r="H152" i="27"/>
  <c r="I152" i="27" s="1"/>
  <c r="F152" i="27" s="1"/>
  <c r="H153" i="27"/>
  <c r="I153" i="27" s="1"/>
  <c r="F153" i="27" s="1"/>
  <c r="H154" i="27"/>
  <c r="I154" i="27" s="1"/>
  <c r="F154" i="27" s="1"/>
  <c r="H155" i="27"/>
  <c r="I155" i="27" s="1"/>
  <c r="F155" i="27" s="1"/>
  <c r="H156" i="27"/>
  <c r="I156" i="27" s="1"/>
  <c r="F156" i="27" s="1"/>
  <c r="H157" i="27"/>
  <c r="I157" i="27" s="1"/>
  <c r="F157" i="27" s="1"/>
  <c r="H158" i="27"/>
  <c r="I158" i="27" s="1"/>
  <c r="F158" i="27" s="1"/>
  <c r="H159" i="27"/>
  <c r="I159" i="27" s="1"/>
  <c r="F159" i="27" s="1"/>
  <c r="H160" i="27"/>
  <c r="I160" i="27" s="1"/>
  <c r="F160" i="27" s="1"/>
  <c r="H161" i="27"/>
  <c r="I161" i="27" s="1"/>
  <c r="F161" i="27" s="1"/>
  <c r="H162" i="27"/>
  <c r="I162" i="27" s="1"/>
  <c r="F162" i="27" s="1"/>
  <c r="H163" i="27"/>
  <c r="I163" i="27" s="1"/>
  <c r="F163" i="27" s="1"/>
  <c r="H164" i="27"/>
  <c r="I164" i="27" s="1"/>
  <c r="F164" i="27" s="1"/>
  <c r="H165" i="27"/>
  <c r="I165" i="27" s="1"/>
  <c r="F165" i="27" s="1"/>
  <c r="H166" i="27"/>
  <c r="I166" i="27" s="1"/>
  <c r="F166" i="27" s="1"/>
  <c r="H167" i="27"/>
  <c r="I167" i="27" s="1"/>
  <c r="F167" i="27" s="1"/>
  <c r="H168" i="27"/>
  <c r="I168" i="27" s="1"/>
  <c r="F168" i="27" s="1"/>
  <c r="H169" i="27"/>
  <c r="I169" i="27" s="1"/>
  <c r="F169" i="27" s="1"/>
  <c r="H170" i="27"/>
  <c r="I170" i="27" s="1"/>
  <c r="F170" i="27" s="1"/>
  <c r="H171" i="27"/>
  <c r="I171" i="27" s="1"/>
  <c r="F171" i="27" s="1"/>
  <c r="H172" i="27"/>
  <c r="I172" i="27" s="1"/>
  <c r="F172" i="27" s="1"/>
  <c r="H173" i="27"/>
  <c r="I173" i="27" s="1"/>
  <c r="F173" i="27" s="1"/>
  <c r="H174" i="27"/>
  <c r="I174" i="27" s="1"/>
  <c r="F174" i="27" s="1"/>
  <c r="H175" i="27"/>
  <c r="I175" i="27" s="1"/>
  <c r="F175" i="27" s="1"/>
  <c r="H176" i="27"/>
  <c r="I176" i="27" s="1"/>
  <c r="F176" i="27" s="1"/>
  <c r="H177" i="27"/>
  <c r="I177" i="27" s="1"/>
  <c r="F177" i="27" s="1"/>
  <c r="H178" i="27"/>
  <c r="I178" i="27" s="1"/>
  <c r="F178" i="27" s="1"/>
  <c r="H179" i="27"/>
  <c r="I179" i="27" s="1"/>
  <c r="F179" i="27" s="1"/>
  <c r="H180" i="27"/>
  <c r="I180" i="27" s="1"/>
  <c r="F180" i="27" s="1"/>
  <c r="H181" i="27"/>
  <c r="I181" i="27" s="1"/>
  <c r="F181" i="27" s="1"/>
  <c r="H182" i="27"/>
  <c r="I182" i="27" s="1"/>
  <c r="F182" i="27" s="1"/>
  <c r="H183" i="27"/>
  <c r="I183" i="27" s="1"/>
  <c r="F183" i="27" s="1"/>
  <c r="H184" i="27"/>
  <c r="I184" i="27" s="1"/>
  <c r="F184" i="27" s="1"/>
  <c r="H185" i="27"/>
  <c r="I185" i="27" s="1"/>
  <c r="F185" i="27" s="1"/>
  <c r="H186" i="27"/>
  <c r="I186" i="27" s="1"/>
  <c r="F186" i="27" s="1"/>
  <c r="H187" i="27"/>
  <c r="I187" i="27" s="1"/>
  <c r="F187" i="27" s="1"/>
  <c r="H188" i="27"/>
  <c r="I188" i="27" s="1"/>
  <c r="F188" i="27" s="1"/>
  <c r="H189" i="27"/>
  <c r="I189" i="27" s="1"/>
  <c r="F189" i="27" s="1"/>
  <c r="H190" i="27"/>
  <c r="I190" i="27" s="1"/>
  <c r="F190" i="27" s="1"/>
  <c r="H191" i="27"/>
  <c r="I191" i="27" s="1"/>
  <c r="F191" i="27" s="1"/>
  <c r="H192" i="27"/>
  <c r="I192" i="27" s="1"/>
  <c r="F192" i="27" s="1"/>
  <c r="H141" i="27"/>
  <c r="H142" i="27"/>
  <c r="H143" i="27"/>
  <c r="H144" i="27"/>
  <c r="H145" i="27"/>
  <c r="H146" i="27"/>
  <c r="I141" i="27"/>
  <c r="F141" i="27" s="1"/>
  <c r="I142" i="27"/>
  <c r="F142" i="27" s="1"/>
  <c r="I143" i="27"/>
  <c r="F143" i="27" s="1"/>
  <c r="I144" i="27"/>
  <c r="F144" i="27" s="1"/>
  <c r="I145" i="27"/>
  <c r="F145" i="27" s="1"/>
  <c r="I146" i="27"/>
  <c r="F146" i="27" s="1"/>
  <c r="H129" i="27"/>
  <c r="H130" i="27"/>
  <c r="H131" i="27"/>
  <c r="H132" i="27"/>
  <c r="H133" i="27"/>
  <c r="H134" i="27"/>
  <c r="H135" i="27"/>
  <c r="H136" i="27"/>
  <c r="H137" i="27"/>
  <c r="H138" i="27"/>
  <c r="I129" i="27"/>
  <c r="F129" i="27" s="1"/>
  <c r="I130" i="27"/>
  <c r="F130" i="27" s="1"/>
  <c r="I131" i="27"/>
  <c r="F131" i="27" s="1"/>
  <c r="I132" i="27"/>
  <c r="F132" i="27" s="1"/>
  <c r="I133" i="27"/>
  <c r="F133" i="27" s="1"/>
  <c r="I134" i="27"/>
  <c r="F134" i="27" s="1"/>
  <c r="I135" i="27"/>
  <c r="F135" i="27" s="1"/>
  <c r="I136" i="27"/>
  <c r="F136" i="27" s="1"/>
  <c r="I137" i="27"/>
  <c r="F137" i="27" s="1"/>
  <c r="I138" i="27"/>
  <c r="F138" i="27" s="1"/>
  <c r="H123" i="27"/>
  <c r="H124" i="27"/>
  <c r="H125" i="27"/>
  <c r="H126" i="27"/>
  <c r="I123" i="27"/>
  <c r="F123" i="27" s="1"/>
  <c r="I124" i="27"/>
  <c r="F124" i="27" s="1"/>
  <c r="I125" i="27"/>
  <c r="F125" i="27" s="1"/>
  <c r="I126" i="27"/>
  <c r="F126" i="27" s="1"/>
  <c r="H110" i="27"/>
  <c r="H111" i="27"/>
  <c r="H112" i="27"/>
  <c r="H113" i="27"/>
  <c r="H114" i="27"/>
  <c r="H115" i="27"/>
  <c r="H116" i="27"/>
  <c r="H117" i="27"/>
  <c r="H118" i="27"/>
  <c r="H119" i="27"/>
  <c r="H120" i="27"/>
  <c r="I110" i="27"/>
  <c r="F110" i="27" s="1"/>
  <c r="I111" i="27"/>
  <c r="F111" i="27" s="1"/>
  <c r="I112" i="27"/>
  <c r="F112" i="27" s="1"/>
  <c r="I113" i="27"/>
  <c r="F113" i="27" s="1"/>
  <c r="I114" i="27"/>
  <c r="F114" i="27" s="1"/>
  <c r="I115" i="27"/>
  <c r="F115" i="27" s="1"/>
  <c r="I116" i="27"/>
  <c r="F116" i="27" s="1"/>
  <c r="I117" i="27"/>
  <c r="F117" i="27" s="1"/>
  <c r="I118" i="27"/>
  <c r="F118" i="27" s="1"/>
  <c r="I119" i="27"/>
  <c r="F119" i="27" s="1"/>
  <c r="I120" i="27"/>
  <c r="F120" i="27" s="1"/>
  <c r="H82" i="27"/>
  <c r="I82" i="27" s="1"/>
  <c r="F82" i="27" s="1"/>
  <c r="H83" i="27"/>
  <c r="I83" i="27" s="1"/>
  <c r="F83" i="27" s="1"/>
  <c r="H84" i="27"/>
  <c r="I84" i="27" s="1"/>
  <c r="F84" i="27" s="1"/>
  <c r="H85" i="27"/>
  <c r="I85" i="27" s="1"/>
  <c r="F85" i="27" s="1"/>
  <c r="H86" i="27"/>
  <c r="I86" i="27" s="1"/>
  <c r="F86" i="27" s="1"/>
  <c r="H87" i="27"/>
  <c r="I87" i="27" s="1"/>
  <c r="F87" i="27" s="1"/>
  <c r="H88" i="27"/>
  <c r="I88" i="27" s="1"/>
  <c r="F88" i="27" s="1"/>
  <c r="H89" i="27"/>
  <c r="I89" i="27" s="1"/>
  <c r="F89" i="27" s="1"/>
  <c r="H90" i="27"/>
  <c r="I90" i="27" s="1"/>
  <c r="F90" i="27" s="1"/>
  <c r="H91" i="27"/>
  <c r="I91" i="27" s="1"/>
  <c r="F91" i="27" s="1"/>
  <c r="H92" i="27"/>
  <c r="I92" i="27" s="1"/>
  <c r="F92" i="27" s="1"/>
  <c r="H93" i="27"/>
  <c r="I93" i="27" s="1"/>
  <c r="F93" i="27" s="1"/>
  <c r="H94" i="27"/>
  <c r="I94" i="27" s="1"/>
  <c r="F94" i="27" s="1"/>
  <c r="H95" i="27"/>
  <c r="I95" i="27" s="1"/>
  <c r="F95" i="27" s="1"/>
  <c r="H96" i="27"/>
  <c r="I96" i="27" s="1"/>
  <c r="F96" i="27" s="1"/>
  <c r="H97" i="27"/>
  <c r="I97" i="27" s="1"/>
  <c r="F97" i="27" s="1"/>
  <c r="H98" i="27"/>
  <c r="I98" i="27" s="1"/>
  <c r="F98" i="27" s="1"/>
  <c r="H99" i="27"/>
  <c r="I99" i="27" s="1"/>
  <c r="F99" i="27" s="1"/>
  <c r="H100" i="27"/>
  <c r="I100" i="27" s="1"/>
  <c r="F100" i="27" s="1"/>
  <c r="H101" i="27"/>
  <c r="I101" i="27" s="1"/>
  <c r="F101" i="27" s="1"/>
  <c r="H102" i="27"/>
  <c r="I102" i="27" s="1"/>
  <c r="F102" i="27" s="1"/>
  <c r="H103" i="27"/>
  <c r="I103" i="27" s="1"/>
  <c r="F103" i="27" s="1"/>
  <c r="H104" i="27"/>
  <c r="I104" i="27" s="1"/>
  <c r="F104" i="27" s="1"/>
  <c r="H105" i="27"/>
  <c r="I105" i="27" s="1"/>
  <c r="F105" i="27" s="1"/>
  <c r="H106" i="27"/>
  <c r="I106" i="27" s="1"/>
  <c r="F106" i="27" s="1"/>
  <c r="H107" i="27"/>
  <c r="I107" i="27" s="1"/>
  <c r="F107" i="27" s="1"/>
  <c r="H76" i="27"/>
  <c r="I76" i="27" s="1"/>
  <c r="F76" i="27" s="1"/>
  <c r="H77" i="27"/>
  <c r="I77" i="27" s="1"/>
  <c r="F77" i="27" s="1"/>
  <c r="H78" i="27"/>
  <c r="I78" i="27" s="1"/>
  <c r="F78" i="27" s="1"/>
  <c r="H79" i="27"/>
  <c r="I79" i="27" s="1"/>
  <c r="F79" i="27" s="1"/>
  <c r="H55" i="27"/>
  <c r="I55" i="27" s="1"/>
  <c r="F55" i="27" s="1"/>
  <c r="H56" i="27"/>
  <c r="I56" i="27" s="1"/>
  <c r="F56" i="27" s="1"/>
  <c r="H57" i="27"/>
  <c r="I57" i="27" s="1"/>
  <c r="F57" i="27" s="1"/>
  <c r="H58" i="27"/>
  <c r="I58" i="27" s="1"/>
  <c r="F58" i="27" s="1"/>
  <c r="H59" i="27"/>
  <c r="I59" i="27" s="1"/>
  <c r="F59" i="27" s="1"/>
  <c r="H60" i="27"/>
  <c r="I60" i="27" s="1"/>
  <c r="F60" i="27" s="1"/>
  <c r="H61" i="27"/>
  <c r="I61" i="27" s="1"/>
  <c r="F61" i="27" s="1"/>
  <c r="H62" i="27"/>
  <c r="I62" i="27" s="1"/>
  <c r="F62" i="27" s="1"/>
  <c r="H63" i="27"/>
  <c r="I63" i="27" s="1"/>
  <c r="F63" i="27" s="1"/>
  <c r="H64" i="27"/>
  <c r="I64" i="27" s="1"/>
  <c r="F64" i="27" s="1"/>
  <c r="H65" i="27"/>
  <c r="I65" i="27" s="1"/>
  <c r="F65" i="27" s="1"/>
  <c r="H66" i="27"/>
  <c r="I66" i="27" s="1"/>
  <c r="F66" i="27" s="1"/>
  <c r="H67" i="27"/>
  <c r="I67" i="27" s="1"/>
  <c r="F67" i="27" s="1"/>
  <c r="H68" i="27"/>
  <c r="I68" i="27" s="1"/>
  <c r="F68" i="27" s="1"/>
  <c r="H69" i="27"/>
  <c r="I69" i="27" s="1"/>
  <c r="F69" i="27" s="1"/>
  <c r="H70" i="27"/>
  <c r="I70" i="27" s="1"/>
  <c r="F70" i="27" s="1"/>
  <c r="H71" i="27"/>
  <c r="I71" i="27" s="1"/>
  <c r="F71" i="27" s="1"/>
  <c r="H72" i="27"/>
  <c r="I72" i="27" s="1"/>
  <c r="F72" i="27" s="1"/>
  <c r="H73" i="27"/>
  <c r="I73" i="27" s="1"/>
  <c r="F73" i="27" s="1"/>
  <c r="H74" i="27"/>
  <c r="I74" i="27" s="1"/>
  <c r="F74" i="27" s="1"/>
  <c r="H75" i="27"/>
  <c r="I75" i="27" s="1"/>
  <c r="F75" i="27" s="1"/>
  <c r="H50" i="27"/>
  <c r="I50" i="27" s="1"/>
  <c r="F50" i="27" s="1"/>
  <c r="H47" i="27"/>
  <c r="I47" i="27" s="1"/>
  <c r="F47" i="27" s="1"/>
  <c r="E47" i="27" s="1"/>
  <c r="D47" i="27" s="1"/>
  <c r="H43" i="27"/>
  <c r="I43" i="27" s="1"/>
  <c r="F43" i="27" s="1"/>
  <c r="H44" i="27"/>
  <c r="I44" i="27" s="1"/>
  <c r="F44" i="27" s="1"/>
  <c r="H18" i="27"/>
  <c r="I18" i="27" s="1"/>
  <c r="F18" i="27" s="1"/>
  <c r="H19" i="27"/>
  <c r="I19" i="27" s="1"/>
  <c r="F19" i="27" s="1"/>
  <c r="H20" i="27"/>
  <c r="I20" i="27" s="1"/>
  <c r="F20" i="27" s="1"/>
  <c r="H21" i="27"/>
  <c r="I21" i="27" s="1"/>
  <c r="F21" i="27" s="1"/>
  <c r="H22" i="27"/>
  <c r="I22" i="27" s="1"/>
  <c r="F22" i="27" s="1"/>
  <c r="H23" i="27"/>
  <c r="I23" i="27" s="1"/>
  <c r="F23" i="27" s="1"/>
  <c r="H24" i="27"/>
  <c r="I24" i="27" s="1"/>
  <c r="F24" i="27" s="1"/>
  <c r="H25" i="27"/>
  <c r="I25" i="27" s="1"/>
  <c r="F25" i="27" s="1"/>
  <c r="H26" i="27"/>
  <c r="I26" i="27" s="1"/>
  <c r="F26" i="27" s="1"/>
  <c r="H27" i="27"/>
  <c r="I27" i="27" s="1"/>
  <c r="F27" i="27" s="1"/>
  <c r="H28" i="27"/>
  <c r="I28" i="27" s="1"/>
  <c r="F28" i="27" s="1"/>
  <c r="H29" i="27"/>
  <c r="I29" i="27" s="1"/>
  <c r="F29" i="27" s="1"/>
  <c r="H30" i="27"/>
  <c r="I30" i="27" s="1"/>
  <c r="F30" i="27" s="1"/>
  <c r="H31" i="27"/>
  <c r="I31" i="27" s="1"/>
  <c r="F31" i="27" s="1"/>
  <c r="H32" i="27"/>
  <c r="I32" i="27" s="1"/>
  <c r="F32" i="27" s="1"/>
  <c r="H33" i="27"/>
  <c r="I33" i="27" s="1"/>
  <c r="F33" i="27" s="1"/>
  <c r="H34" i="27"/>
  <c r="I34" i="27" s="1"/>
  <c r="F34" i="27" s="1"/>
  <c r="H35" i="27"/>
  <c r="I35" i="27" s="1"/>
  <c r="F35" i="27" s="1"/>
  <c r="H36" i="27"/>
  <c r="I36" i="27" s="1"/>
  <c r="F36" i="27" s="1"/>
  <c r="H37" i="27"/>
  <c r="I37" i="27" s="1"/>
  <c r="F37" i="27" s="1"/>
  <c r="H38" i="27"/>
  <c r="I38" i="27" s="1"/>
  <c r="F38" i="27" s="1"/>
  <c r="H39" i="27"/>
  <c r="I39" i="27" s="1"/>
  <c r="F39" i="27" s="1"/>
  <c r="H40" i="27"/>
  <c r="I40" i="27" s="1"/>
  <c r="F40" i="27" s="1"/>
  <c r="H41" i="27"/>
  <c r="I41" i="27" s="1"/>
  <c r="F41" i="27" s="1"/>
  <c r="H42" i="27"/>
  <c r="I42" i="27" s="1"/>
  <c r="F42" i="27" s="1"/>
  <c r="H14" i="27"/>
  <c r="I14" i="27" s="1"/>
  <c r="F14" i="27" s="1"/>
  <c r="H15" i="27"/>
  <c r="I15" i="27" s="1"/>
  <c r="F15" i="27" s="1"/>
  <c r="H212" i="27"/>
  <c r="I212" i="27" s="1"/>
  <c r="F212" i="27" s="1"/>
  <c r="H196" i="27"/>
  <c r="I196" i="27" s="1"/>
  <c r="F196" i="27" s="1"/>
  <c r="E196" i="27" s="1"/>
  <c r="D196" i="27" s="1"/>
  <c r="H194" i="27"/>
  <c r="I194" i="27" s="1"/>
  <c r="F194" i="27" s="1"/>
  <c r="E194" i="27" s="1"/>
  <c r="D194" i="27" s="1"/>
  <c r="H148" i="27"/>
  <c r="I148" i="27" s="1"/>
  <c r="F148" i="27" s="1"/>
  <c r="E148" i="27" s="1"/>
  <c r="D148" i="27" s="1"/>
  <c r="H140" i="27"/>
  <c r="I140" i="27" s="1"/>
  <c r="F140" i="27" s="1"/>
  <c r="E140" i="27" s="1"/>
  <c r="D140" i="27" s="1"/>
  <c r="H128" i="27"/>
  <c r="I128" i="27" s="1"/>
  <c r="F128" i="27" s="1"/>
  <c r="E128" i="27" s="1"/>
  <c r="D128" i="27" s="1"/>
  <c r="H122" i="27"/>
  <c r="I122" i="27" s="1"/>
  <c r="F122" i="27" s="1"/>
  <c r="E122" i="27" s="1"/>
  <c r="D122" i="27" s="1"/>
  <c r="H109" i="27"/>
  <c r="I109" i="27" s="1"/>
  <c r="F109" i="27" s="1"/>
  <c r="E109" i="27" s="1"/>
  <c r="D109" i="27" s="1"/>
  <c r="H81" i="27"/>
  <c r="I81" i="27" s="1"/>
  <c r="F81" i="27" s="1"/>
  <c r="E81" i="27" s="1"/>
  <c r="D81" i="27" s="1"/>
  <c r="H54" i="27"/>
  <c r="I54" i="27" s="1"/>
  <c r="F54" i="27" s="1"/>
  <c r="E54" i="27" s="1"/>
  <c r="D54" i="27" s="1"/>
  <c r="H52" i="27"/>
  <c r="I52" i="27" s="1"/>
  <c r="F52" i="27" s="1"/>
  <c r="E52" i="27" s="1"/>
  <c r="D52" i="27" s="1"/>
  <c r="H49" i="27"/>
  <c r="I49" i="27" s="1"/>
  <c r="F49" i="27" s="1"/>
  <c r="E49" i="27" s="1"/>
  <c r="D49" i="27" s="1"/>
  <c r="H46" i="27"/>
  <c r="I46" i="27" s="1"/>
  <c r="F46" i="27" s="1"/>
  <c r="E46" i="27" s="1"/>
  <c r="D46" i="27" s="1"/>
  <c r="H17" i="27"/>
  <c r="I17" i="27" s="1"/>
  <c r="F17" i="27" s="1"/>
  <c r="E17" i="27" s="1"/>
  <c r="D17" i="27" s="1"/>
  <c r="H13" i="27"/>
  <c r="I13" i="27" s="1"/>
  <c r="F13" i="27" s="1"/>
  <c r="E13" i="27" s="1"/>
  <c r="D13" i="27" s="1"/>
  <c r="H11" i="27"/>
  <c r="I11" i="27" s="1"/>
  <c r="F11" i="27" s="1"/>
  <c r="E11" i="27" s="1"/>
  <c r="D11" i="27" s="1"/>
  <c r="H152" i="8"/>
  <c r="I152" i="8" s="1"/>
  <c r="F152" i="8" s="1"/>
  <c r="H153" i="8"/>
  <c r="I153" i="8" s="1"/>
  <c r="H154" i="8"/>
  <c r="I154" i="8" s="1"/>
  <c r="H155" i="8"/>
  <c r="I155" i="8" s="1"/>
  <c r="F155" i="8" s="1"/>
  <c r="H156" i="8"/>
  <c r="I156" i="8" s="1"/>
  <c r="F156" i="8" s="1"/>
  <c r="H157" i="8"/>
  <c r="I157" i="8" s="1"/>
  <c r="F157" i="8" s="1"/>
  <c r="H158" i="8"/>
  <c r="I158" i="8" s="1"/>
  <c r="F158" i="8" s="1"/>
  <c r="H159" i="8"/>
  <c r="I159" i="8" s="1"/>
  <c r="F159" i="8" s="1"/>
  <c r="H160" i="8"/>
  <c r="I160" i="8" s="1"/>
  <c r="F160" i="8" s="1"/>
  <c r="H161" i="8"/>
  <c r="I161" i="8" s="1"/>
  <c r="F161" i="8" s="1"/>
  <c r="H128" i="8"/>
  <c r="I128" i="8" s="1"/>
  <c r="F128" i="8" s="1"/>
  <c r="H129" i="8"/>
  <c r="I129" i="8" s="1"/>
  <c r="F129" i="8" s="1"/>
  <c r="H130" i="8"/>
  <c r="I130" i="8" s="1"/>
  <c r="F130" i="8" s="1"/>
  <c r="H131" i="8"/>
  <c r="I131" i="8" s="1"/>
  <c r="F131" i="8" s="1"/>
  <c r="H132" i="8"/>
  <c r="I132" i="8" s="1"/>
  <c r="F132" i="8" s="1"/>
  <c r="H133" i="8"/>
  <c r="I133" i="8" s="1"/>
  <c r="F133" i="8" s="1"/>
  <c r="H134" i="8"/>
  <c r="I134" i="8" s="1"/>
  <c r="F134" i="8" s="1"/>
  <c r="H135" i="8"/>
  <c r="I135" i="8" s="1"/>
  <c r="F135" i="8" s="1"/>
  <c r="H136" i="8"/>
  <c r="I136" i="8" s="1"/>
  <c r="F136" i="8" s="1"/>
  <c r="H137" i="8"/>
  <c r="I137" i="8" s="1"/>
  <c r="F137" i="8" s="1"/>
  <c r="H138" i="8"/>
  <c r="I138" i="8" s="1"/>
  <c r="F138" i="8" s="1"/>
  <c r="H139" i="8"/>
  <c r="I139" i="8" s="1"/>
  <c r="H140" i="8"/>
  <c r="I140" i="8" s="1"/>
  <c r="F140" i="8" s="1"/>
  <c r="H141" i="8"/>
  <c r="I141" i="8" s="1"/>
  <c r="H142" i="8"/>
  <c r="I142" i="8" s="1"/>
  <c r="H143" i="8"/>
  <c r="I143" i="8" s="1"/>
  <c r="F143" i="8" s="1"/>
  <c r="H144" i="8"/>
  <c r="I144" i="8" s="1"/>
  <c r="H145" i="8"/>
  <c r="I145" i="8" s="1"/>
  <c r="H146" i="8"/>
  <c r="I146" i="8" s="1"/>
  <c r="H147" i="8"/>
  <c r="I147" i="8" s="1"/>
  <c r="F147" i="8" s="1"/>
  <c r="H148" i="8"/>
  <c r="I148" i="8" s="1"/>
  <c r="H149" i="8"/>
  <c r="I149" i="8" s="1"/>
  <c r="H150" i="8"/>
  <c r="I150" i="8" s="1"/>
  <c r="F150" i="8" s="1"/>
  <c r="H151" i="8"/>
  <c r="I151" i="8" s="1"/>
  <c r="H165" i="8"/>
  <c r="I165" i="8" s="1"/>
  <c r="F165" i="8" s="1"/>
  <c r="H166" i="8"/>
  <c r="I166" i="8" s="1"/>
  <c r="F166" i="8" s="1"/>
  <c r="H167" i="8"/>
  <c r="I167" i="8" s="1"/>
  <c r="F167" i="8" s="1"/>
  <c r="H168" i="8"/>
  <c r="I168" i="8" s="1"/>
  <c r="F168" i="8" s="1"/>
  <c r="H169" i="8"/>
  <c r="I169" i="8" s="1"/>
  <c r="F169" i="8" s="1"/>
  <c r="H170" i="8"/>
  <c r="I170" i="8" s="1"/>
  <c r="F170" i="8" s="1"/>
  <c r="H173" i="8"/>
  <c r="H174" i="8"/>
  <c r="I173" i="8"/>
  <c r="F173" i="8" s="1"/>
  <c r="I174" i="8"/>
  <c r="F174" i="8" s="1"/>
  <c r="H199" i="8"/>
  <c r="I199" i="8" s="1"/>
  <c r="F199" i="8" s="1"/>
  <c r="H200" i="8"/>
  <c r="I200" i="8" s="1"/>
  <c r="F200" i="8" s="1"/>
  <c r="H201" i="8"/>
  <c r="I201" i="8" s="1"/>
  <c r="F201" i="8" s="1"/>
  <c r="H202" i="8"/>
  <c r="I202" i="8" s="1"/>
  <c r="F202" i="8" s="1"/>
  <c r="H203" i="8"/>
  <c r="I203" i="8" s="1"/>
  <c r="F203" i="8" s="1"/>
  <c r="H204" i="8"/>
  <c r="I204" i="8" s="1"/>
  <c r="F204" i="8" s="1"/>
  <c r="H205" i="8"/>
  <c r="I205" i="8" s="1"/>
  <c r="F205" i="8" s="1"/>
  <c r="H206" i="8"/>
  <c r="I206" i="8" s="1"/>
  <c r="F206" i="8" s="1"/>
  <c r="H207" i="8"/>
  <c r="I207" i="8" s="1"/>
  <c r="F207" i="8" s="1"/>
  <c r="H208" i="8"/>
  <c r="I208" i="8" s="1"/>
  <c r="F208" i="8" s="1"/>
  <c r="H209" i="8"/>
  <c r="I209" i="8" s="1"/>
  <c r="F209" i="8" s="1"/>
  <c r="H210" i="8"/>
  <c r="I210" i="8" s="1"/>
  <c r="F210" i="8" s="1"/>
  <c r="H211" i="8"/>
  <c r="I211" i="8" s="1"/>
  <c r="F211" i="8" s="1"/>
  <c r="H212" i="8"/>
  <c r="I212" i="8" s="1"/>
  <c r="F212" i="8" s="1"/>
  <c r="H213" i="8"/>
  <c r="I213" i="8" s="1"/>
  <c r="F213" i="8" s="1"/>
  <c r="H214" i="8"/>
  <c r="I214" i="8" s="1"/>
  <c r="F214" i="8" s="1"/>
  <c r="H215" i="8"/>
  <c r="I215" i="8" s="1"/>
  <c r="F215" i="8" s="1"/>
  <c r="H216" i="8"/>
  <c r="I216" i="8" s="1"/>
  <c r="F216" i="8" s="1"/>
  <c r="H177" i="8"/>
  <c r="I177" i="8" s="1"/>
  <c r="F177" i="8" s="1"/>
  <c r="H178" i="8"/>
  <c r="I178" i="8" s="1"/>
  <c r="F178" i="8" s="1"/>
  <c r="H179" i="8"/>
  <c r="I179" i="8" s="1"/>
  <c r="F179" i="8" s="1"/>
  <c r="H180" i="8"/>
  <c r="I180" i="8" s="1"/>
  <c r="F180" i="8" s="1"/>
  <c r="H181" i="8"/>
  <c r="I181" i="8" s="1"/>
  <c r="F181" i="8" s="1"/>
  <c r="H182" i="8"/>
  <c r="I182" i="8" s="1"/>
  <c r="F182" i="8" s="1"/>
  <c r="H183" i="8"/>
  <c r="I183" i="8" s="1"/>
  <c r="F183" i="8" s="1"/>
  <c r="H184" i="8"/>
  <c r="I184" i="8" s="1"/>
  <c r="F184" i="8" s="1"/>
  <c r="H185" i="8"/>
  <c r="I185" i="8" s="1"/>
  <c r="F185" i="8" s="1"/>
  <c r="H186" i="8"/>
  <c r="I186" i="8" s="1"/>
  <c r="F186" i="8" s="1"/>
  <c r="H187" i="8"/>
  <c r="I187" i="8" s="1"/>
  <c r="F187" i="8" s="1"/>
  <c r="H188" i="8"/>
  <c r="I188" i="8" s="1"/>
  <c r="F188" i="8" s="1"/>
  <c r="H189" i="8"/>
  <c r="I189" i="8" s="1"/>
  <c r="F189" i="8" s="1"/>
  <c r="H190" i="8"/>
  <c r="I190" i="8" s="1"/>
  <c r="F190" i="8" s="1"/>
  <c r="H191" i="8"/>
  <c r="I191" i="8" s="1"/>
  <c r="F191" i="8" s="1"/>
  <c r="H192" i="8"/>
  <c r="I192" i="8" s="1"/>
  <c r="F192" i="8" s="1"/>
  <c r="H193" i="8"/>
  <c r="I193" i="8" s="1"/>
  <c r="F193" i="8" s="1"/>
  <c r="H194" i="8"/>
  <c r="I194" i="8" s="1"/>
  <c r="F194" i="8" s="1"/>
  <c r="H195" i="8"/>
  <c r="I195" i="8" s="1"/>
  <c r="F195" i="8" s="1"/>
  <c r="H196" i="8"/>
  <c r="I196" i="8" s="1"/>
  <c r="F196" i="8" s="1"/>
  <c r="H197" i="8"/>
  <c r="I197" i="8" s="1"/>
  <c r="F197" i="8" s="1"/>
  <c r="H198" i="8"/>
  <c r="I198" i="8" s="1"/>
  <c r="F198" i="8" s="1"/>
  <c r="H221" i="8"/>
  <c r="I221" i="8" s="1"/>
  <c r="F221" i="8" s="1"/>
  <c r="H222" i="8"/>
  <c r="I222" i="8" s="1"/>
  <c r="F222" i="8" s="1"/>
  <c r="H223" i="8"/>
  <c r="I223" i="8" s="1"/>
  <c r="F223" i="8" s="1"/>
  <c r="H224" i="8"/>
  <c r="I224" i="8" s="1"/>
  <c r="F224" i="8" s="1"/>
  <c r="H225" i="8"/>
  <c r="I225" i="8" s="1"/>
  <c r="F225" i="8" s="1"/>
  <c r="H226" i="8"/>
  <c r="I226" i="8" s="1"/>
  <c r="F226" i="8" s="1"/>
  <c r="H227" i="8"/>
  <c r="I227" i="8" s="1"/>
  <c r="F227" i="8" s="1"/>
  <c r="H228" i="8"/>
  <c r="I228" i="8" s="1"/>
  <c r="F228" i="8" s="1"/>
  <c r="H229" i="8"/>
  <c r="I229" i="8" s="1"/>
  <c r="F229" i="8" s="1"/>
  <c r="H230" i="8"/>
  <c r="I230" i="8" s="1"/>
  <c r="F230" i="8" s="1"/>
  <c r="H231" i="8"/>
  <c r="I231" i="8" s="1"/>
  <c r="F231" i="8" s="1"/>
  <c r="H232" i="8"/>
  <c r="I232" i="8" s="1"/>
  <c r="F232" i="8" s="1"/>
  <c r="H233" i="8"/>
  <c r="I233" i="8" s="1"/>
  <c r="F233" i="8" s="1"/>
  <c r="H234" i="8"/>
  <c r="I234" i="8" s="1"/>
  <c r="F234" i="8" s="1"/>
  <c r="H235" i="8"/>
  <c r="I235" i="8" s="1"/>
  <c r="F235" i="8" s="1"/>
  <c r="H236" i="8"/>
  <c r="I236" i="8" s="1"/>
  <c r="F236" i="8" s="1"/>
  <c r="H237" i="8"/>
  <c r="I237" i="8" s="1"/>
  <c r="F237" i="8" s="1"/>
  <c r="H238" i="8"/>
  <c r="I238" i="8" s="1"/>
  <c r="F238" i="8" s="1"/>
  <c r="H239" i="8"/>
  <c r="I239" i="8" s="1"/>
  <c r="F239" i="8" s="1"/>
  <c r="H240" i="8"/>
  <c r="I240" i="8" s="1"/>
  <c r="F240" i="8" s="1"/>
  <c r="E50" i="27" l="1"/>
  <c r="D50" i="27" s="1"/>
  <c r="E15" i="27"/>
  <c r="D15" i="27" s="1"/>
  <c r="E42" i="27"/>
  <c r="D42" i="27" s="1"/>
  <c r="E40" i="27"/>
  <c r="D40" i="27" s="1"/>
  <c r="E38" i="27"/>
  <c r="D38" i="27" s="1"/>
  <c r="E36" i="27"/>
  <c r="D36" i="27" s="1"/>
  <c r="E34" i="27"/>
  <c r="D34" i="27" s="1"/>
  <c r="E32" i="27"/>
  <c r="D32" i="27" s="1"/>
  <c r="E30" i="27"/>
  <c r="D30" i="27" s="1"/>
  <c r="E28" i="27"/>
  <c r="D28" i="27" s="1"/>
  <c r="E26" i="27"/>
  <c r="D26" i="27" s="1"/>
  <c r="E24" i="27"/>
  <c r="D24" i="27" s="1"/>
  <c r="E22" i="27"/>
  <c r="D22" i="27" s="1"/>
  <c r="E20" i="27"/>
  <c r="D20" i="27" s="1"/>
  <c r="E18" i="27"/>
  <c r="D18" i="27" s="1"/>
  <c r="E43" i="27"/>
  <c r="D43" i="27" s="1"/>
  <c r="E74" i="27"/>
  <c r="D74" i="27" s="1"/>
  <c r="E72" i="27"/>
  <c r="D72" i="27" s="1"/>
  <c r="E70" i="27"/>
  <c r="D70" i="27" s="1"/>
  <c r="E68" i="27"/>
  <c r="D68" i="27" s="1"/>
  <c r="E66" i="27"/>
  <c r="D66" i="27" s="1"/>
  <c r="E14" i="27"/>
  <c r="D14" i="27" s="1"/>
  <c r="E41" i="27"/>
  <c r="D41" i="27" s="1"/>
  <c r="E39" i="27"/>
  <c r="D39" i="27" s="1"/>
  <c r="E37" i="27"/>
  <c r="D37" i="27" s="1"/>
  <c r="E35" i="27"/>
  <c r="D35" i="27" s="1"/>
  <c r="E33" i="27"/>
  <c r="D33" i="27" s="1"/>
  <c r="E31" i="27"/>
  <c r="D31" i="27" s="1"/>
  <c r="E29" i="27"/>
  <c r="D29" i="27" s="1"/>
  <c r="E27" i="27"/>
  <c r="D27" i="27" s="1"/>
  <c r="E25" i="27"/>
  <c r="D25" i="27" s="1"/>
  <c r="E23" i="27"/>
  <c r="D23" i="27" s="1"/>
  <c r="E21" i="27"/>
  <c r="D21" i="27" s="1"/>
  <c r="E19" i="27"/>
  <c r="D19" i="27" s="1"/>
  <c r="E44" i="27"/>
  <c r="D44" i="27" s="1"/>
  <c r="E75" i="27"/>
  <c r="D75" i="27" s="1"/>
  <c r="E73" i="27"/>
  <c r="D73" i="27" s="1"/>
  <c r="E71" i="27"/>
  <c r="D71" i="27" s="1"/>
  <c r="E69" i="27"/>
  <c r="D69" i="27" s="1"/>
  <c r="E67" i="27"/>
  <c r="D67" i="27" s="1"/>
  <c r="E65" i="27"/>
  <c r="D65" i="27" s="1"/>
  <c r="E63" i="27"/>
  <c r="D63" i="27" s="1"/>
  <c r="E61" i="27"/>
  <c r="D61" i="27" s="1"/>
  <c r="E59" i="27"/>
  <c r="D59" i="27" s="1"/>
  <c r="E57" i="27"/>
  <c r="D57" i="27" s="1"/>
  <c r="E55" i="27"/>
  <c r="D55" i="27" s="1"/>
  <c r="E79" i="27"/>
  <c r="D79" i="27" s="1"/>
  <c r="E77" i="27"/>
  <c r="D77" i="27" s="1"/>
  <c r="E107" i="27"/>
  <c r="D107" i="27" s="1"/>
  <c r="E105" i="27"/>
  <c r="D105" i="27" s="1"/>
  <c r="E103" i="27"/>
  <c r="D103" i="27" s="1"/>
  <c r="E101" i="27"/>
  <c r="D101" i="27" s="1"/>
  <c r="E99" i="27"/>
  <c r="D99" i="27" s="1"/>
  <c r="E97" i="27"/>
  <c r="D97" i="27" s="1"/>
  <c r="E95" i="27"/>
  <c r="D95" i="27" s="1"/>
  <c r="E93" i="27"/>
  <c r="D93" i="27" s="1"/>
  <c r="E91" i="27"/>
  <c r="D91" i="27" s="1"/>
  <c r="E89" i="27"/>
  <c r="D89" i="27" s="1"/>
  <c r="E87" i="27"/>
  <c r="D87" i="27" s="1"/>
  <c r="E85" i="27"/>
  <c r="D85" i="27" s="1"/>
  <c r="E83" i="27"/>
  <c r="D83" i="27" s="1"/>
  <c r="E120" i="27"/>
  <c r="D120" i="27" s="1"/>
  <c r="E118" i="27"/>
  <c r="D118" i="27" s="1"/>
  <c r="E116" i="27"/>
  <c r="D116" i="27" s="1"/>
  <c r="E114" i="27"/>
  <c r="D114" i="27" s="1"/>
  <c r="E112" i="27"/>
  <c r="D112" i="27" s="1"/>
  <c r="E110" i="27"/>
  <c r="D110" i="27" s="1"/>
  <c r="E64" i="27"/>
  <c r="D64" i="27" s="1"/>
  <c r="E62" i="27"/>
  <c r="D62" i="27" s="1"/>
  <c r="E60" i="27"/>
  <c r="D60" i="27" s="1"/>
  <c r="E58" i="27"/>
  <c r="D58" i="27" s="1"/>
  <c r="E56" i="27"/>
  <c r="D56" i="27" s="1"/>
  <c r="E78" i="27"/>
  <c r="D78" i="27" s="1"/>
  <c r="E76" i="27"/>
  <c r="D76" i="27" s="1"/>
  <c r="E106" i="27"/>
  <c r="D106" i="27" s="1"/>
  <c r="E104" i="27"/>
  <c r="D104" i="27" s="1"/>
  <c r="E102" i="27"/>
  <c r="D102" i="27" s="1"/>
  <c r="E100" i="27"/>
  <c r="D100" i="27" s="1"/>
  <c r="E98" i="27"/>
  <c r="D98" i="27" s="1"/>
  <c r="E96" i="27"/>
  <c r="D96" i="27" s="1"/>
  <c r="E94" i="27"/>
  <c r="D94" i="27" s="1"/>
  <c r="E92" i="27"/>
  <c r="D92" i="27" s="1"/>
  <c r="E90" i="27"/>
  <c r="D90" i="27" s="1"/>
  <c r="E88" i="27"/>
  <c r="D88" i="27" s="1"/>
  <c r="E86" i="27"/>
  <c r="D86" i="27" s="1"/>
  <c r="E84" i="27"/>
  <c r="D84" i="27" s="1"/>
  <c r="E82" i="27"/>
  <c r="D82" i="27" s="1"/>
  <c r="E119" i="27"/>
  <c r="D119" i="27"/>
  <c r="E117" i="27"/>
  <c r="D117" i="27" s="1"/>
  <c r="E115" i="27"/>
  <c r="D115" i="27" s="1"/>
  <c r="E113" i="27"/>
  <c r="D113" i="27" s="1"/>
  <c r="E111" i="27"/>
  <c r="D111" i="27" s="1"/>
  <c r="E126" i="27"/>
  <c r="D126" i="27" s="1"/>
  <c r="E124" i="27"/>
  <c r="D124" i="27" s="1"/>
  <c r="E138" i="27"/>
  <c r="D138" i="27" s="1"/>
  <c r="E136" i="27"/>
  <c r="D136" i="27" s="1"/>
  <c r="E134" i="27"/>
  <c r="D134" i="27" s="1"/>
  <c r="E132" i="27"/>
  <c r="D132" i="27" s="1"/>
  <c r="E130" i="27"/>
  <c r="D130" i="27" s="1"/>
  <c r="E146" i="27"/>
  <c r="D146" i="27" s="1"/>
  <c r="E144" i="27"/>
  <c r="D144" i="27" s="1"/>
  <c r="E142" i="27"/>
  <c r="D142" i="27" s="1"/>
  <c r="E192" i="27"/>
  <c r="D192" i="27"/>
  <c r="E190" i="27"/>
  <c r="D190" i="27"/>
  <c r="E188" i="27"/>
  <c r="D188" i="27"/>
  <c r="E186" i="27"/>
  <c r="D186" i="27"/>
  <c r="E184" i="27"/>
  <c r="D184" i="27"/>
  <c r="E182" i="27"/>
  <c r="D182" i="27"/>
  <c r="E180" i="27"/>
  <c r="D180" i="27"/>
  <c r="E178" i="27"/>
  <c r="D178" i="27"/>
  <c r="E176" i="27"/>
  <c r="D176" i="27"/>
  <c r="E174" i="27"/>
  <c r="D174" i="27"/>
  <c r="E172" i="27"/>
  <c r="D172" i="27"/>
  <c r="E170" i="27"/>
  <c r="D170" i="27"/>
  <c r="E168" i="27"/>
  <c r="D168" i="27"/>
  <c r="E166" i="27"/>
  <c r="D166" i="27"/>
  <c r="E164" i="27"/>
  <c r="D164" i="27"/>
  <c r="E162" i="27"/>
  <c r="D162" i="27"/>
  <c r="E160" i="27"/>
  <c r="D160" i="27"/>
  <c r="E158" i="27"/>
  <c r="D158" i="27"/>
  <c r="E156" i="27"/>
  <c r="D156" i="27"/>
  <c r="E154" i="27"/>
  <c r="D154" i="27"/>
  <c r="E152" i="27"/>
  <c r="D152" i="27"/>
  <c r="E150" i="27"/>
  <c r="D150" i="27"/>
  <c r="E125" i="27"/>
  <c r="D125" i="27" s="1"/>
  <c r="E123" i="27"/>
  <c r="D123" i="27" s="1"/>
  <c r="E137" i="27"/>
  <c r="D137" i="27" s="1"/>
  <c r="E135" i="27"/>
  <c r="D135" i="27" s="1"/>
  <c r="E133" i="27"/>
  <c r="D133" i="27" s="1"/>
  <c r="E131" i="27"/>
  <c r="D131" i="27" s="1"/>
  <c r="E129" i="27"/>
  <c r="D129" i="27" s="1"/>
  <c r="E145" i="27"/>
  <c r="D145" i="27" s="1"/>
  <c r="E143" i="27"/>
  <c r="D143" i="27" s="1"/>
  <c r="E141" i="27"/>
  <c r="D141" i="27" s="1"/>
  <c r="E191" i="27"/>
  <c r="D191" i="27"/>
  <c r="E189" i="27"/>
  <c r="D189" i="27"/>
  <c r="E187" i="27"/>
  <c r="D187" i="27"/>
  <c r="E185" i="27"/>
  <c r="D185" i="27"/>
  <c r="E183" i="27"/>
  <c r="D183" i="27"/>
  <c r="E181" i="27"/>
  <c r="D181" i="27"/>
  <c r="E179" i="27"/>
  <c r="D179" i="27"/>
  <c r="E177" i="27"/>
  <c r="D177" i="27"/>
  <c r="E175" i="27"/>
  <c r="D175" i="27"/>
  <c r="E173" i="27"/>
  <c r="D173" i="27"/>
  <c r="E171" i="27"/>
  <c r="D171" i="27"/>
  <c r="E169" i="27"/>
  <c r="D169" i="27"/>
  <c r="E167" i="27"/>
  <c r="D167" i="27"/>
  <c r="E165" i="27"/>
  <c r="D165" i="27"/>
  <c r="E163" i="27"/>
  <c r="D163" i="27"/>
  <c r="E161" i="27"/>
  <c r="D161" i="27"/>
  <c r="E159" i="27"/>
  <c r="D159" i="27"/>
  <c r="E157" i="27"/>
  <c r="D157" i="27"/>
  <c r="E155" i="27"/>
  <c r="D155" i="27"/>
  <c r="E153" i="27"/>
  <c r="D153" i="27"/>
  <c r="E151" i="27"/>
  <c r="D151" i="27"/>
  <c r="E149" i="27"/>
  <c r="D149" i="27"/>
  <c r="E210" i="27"/>
  <c r="D210" i="27" s="1"/>
  <c r="E208" i="27"/>
  <c r="D208" i="27" s="1"/>
  <c r="E206" i="27"/>
  <c r="D206" i="27" s="1"/>
  <c r="E204" i="27"/>
  <c r="D204" i="27" s="1"/>
  <c r="E202" i="27"/>
  <c r="D202" i="27" s="1"/>
  <c r="E200" i="27"/>
  <c r="D200" i="27" s="1"/>
  <c r="E198" i="27"/>
  <c r="D198" i="27" s="1"/>
  <c r="E220" i="27"/>
  <c r="D220" i="27" s="1"/>
  <c r="E218" i="27"/>
  <c r="D218" i="27" s="1"/>
  <c r="E216" i="27"/>
  <c r="D216" i="27" s="1"/>
  <c r="E214" i="27"/>
  <c r="D214" i="27" s="1"/>
  <c r="E209" i="27"/>
  <c r="D209" i="27" s="1"/>
  <c r="E207" i="27"/>
  <c r="D207" i="27" s="1"/>
  <c r="E205" i="27"/>
  <c r="D205" i="27" s="1"/>
  <c r="E203" i="27"/>
  <c r="D203" i="27" s="1"/>
  <c r="E201" i="27"/>
  <c r="D201" i="27" s="1"/>
  <c r="E199" i="27"/>
  <c r="D199" i="27" s="1"/>
  <c r="E197" i="27"/>
  <c r="D197" i="27" s="1"/>
  <c r="E219" i="27"/>
  <c r="D219" i="27" s="1"/>
  <c r="E217" i="27"/>
  <c r="D217" i="27" s="1"/>
  <c r="E215" i="27"/>
  <c r="D215" i="27" s="1"/>
  <c r="E213" i="27"/>
  <c r="D213" i="27" s="1"/>
  <c r="E239" i="8"/>
  <c r="D239" i="8" s="1"/>
  <c r="E237" i="8"/>
  <c r="D237" i="8" s="1"/>
  <c r="E235" i="8"/>
  <c r="D235" i="8" s="1"/>
  <c r="E233" i="8"/>
  <c r="D233" i="8" s="1"/>
  <c r="E231" i="8"/>
  <c r="D231" i="8" s="1"/>
  <c r="E229" i="8"/>
  <c r="D229" i="8" s="1"/>
  <c r="E227" i="8"/>
  <c r="D227" i="8" s="1"/>
  <c r="E225" i="8"/>
  <c r="D225" i="8" s="1"/>
  <c r="E223" i="8"/>
  <c r="D223" i="8" s="1"/>
  <c r="E221" i="8"/>
  <c r="D221" i="8" s="1"/>
  <c r="E197" i="8"/>
  <c r="D197" i="8" s="1"/>
  <c r="E195" i="8"/>
  <c r="D195" i="8" s="1"/>
  <c r="E193" i="8"/>
  <c r="D193" i="8" s="1"/>
  <c r="E191" i="8"/>
  <c r="D191" i="8" s="1"/>
  <c r="E189" i="8"/>
  <c r="D189" i="8" s="1"/>
  <c r="E187" i="8"/>
  <c r="D187" i="8" s="1"/>
  <c r="E185" i="8"/>
  <c r="D185" i="8" s="1"/>
  <c r="E183" i="8"/>
  <c r="D183" i="8" s="1"/>
  <c r="E181" i="8"/>
  <c r="D181" i="8" s="1"/>
  <c r="E179" i="8"/>
  <c r="D179" i="8" s="1"/>
  <c r="E177" i="8"/>
  <c r="D177" i="8" s="1"/>
  <c r="E240" i="8"/>
  <c r="D240" i="8" s="1"/>
  <c r="E238" i="8"/>
  <c r="D238" i="8" s="1"/>
  <c r="E236" i="8"/>
  <c r="D236" i="8" s="1"/>
  <c r="E234" i="8"/>
  <c r="D234" i="8" s="1"/>
  <c r="E232" i="8"/>
  <c r="D232" i="8" s="1"/>
  <c r="E230" i="8"/>
  <c r="D230" i="8" s="1"/>
  <c r="E228" i="8"/>
  <c r="D228" i="8" s="1"/>
  <c r="E226" i="8"/>
  <c r="D226" i="8" s="1"/>
  <c r="E224" i="8"/>
  <c r="D224" i="8" s="1"/>
  <c r="E222" i="8"/>
  <c r="D222" i="8" s="1"/>
  <c r="E198" i="8"/>
  <c r="D198" i="8" s="1"/>
  <c r="E196" i="8"/>
  <c r="D196" i="8" s="1"/>
  <c r="E194" i="8"/>
  <c r="D194" i="8" s="1"/>
  <c r="E192" i="8"/>
  <c r="D192" i="8" s="1"/>
  <c r="E190" i="8"/>
  <c r="D190" i="8" s="1"/>
  <c r="E188" i="8"/>
  <c r="D188" i="8" s="1"/>
  <c r="E186" i="8"/>
  <c r="D186" i="8" s="1"/>
  <c r="E184" i="8"/>
  <c r="D184" i="8" s="1"/>
  <c r="E182" i="8"/>
  <c r="D182" i="8" s="1"/>
  <c r="E180" i="8"/>
  <c r="D180" i="8" s="1"/>
  <c r="E178" i="8"/>
  <c r="D178" i="8" s="1"/>
  <c r="E215" i="8"/>
  <c r="D215" i="8" s="1"/>
  <c r="E213" i="8"/>
  <c r="D213" i="8" s="1"/>
  <c r="E211" i="8"/>
  <c r="D211" i="8" s="1"/>
  <c r="E209" i="8"/>
  <c r="D209" i="8" s="1"/>
  <c r="E207" i="8"/>
  <c r="D207" i="8" s="1"/>
  <c r="E205" i="8"/>
  <c r="D205" i="8" s="1"/>
  <c r="E203" i="8"/>
  <c r="D203" i="8" s="1"/>
  <c r="E201" i="8"/>
  <c r="D201" i="8" s="1"/>
  <c r="E199" i="8"/>
  <c r="D199" i="8" s="1"/>
  <c r="E173" i="8"/>
  <c r="D173" i="8" s="1"/>
  <c r="E169" i="8"/>
  <c r="D169" i="8" s="1"/>
  <c r="E167" i="8"/>
  <c r="D167" i="8" s="1"/>
  <c r="E165" i="8"/>
  <c r="D165" i="8" s="1"/>
  <c r="E150" i="8"/>
  <c r="D150" i="8" s="1"/>
  <c r="E148" i="8"/>
  <c r="D148" i="8" s="1"/>
  <c r="E146" i="8"/>
  <c r="D146" i="8" s="1"/>
  <c r="E144" i="8"/>
  <c r="D144" i="8" s="1"/>
  <c r="E142" i="8"/>
  <c r="D142" i="8" s="1"/>
  <c r="E140" i="8"/>
  <c r="D140" i="8" s="1"/>
  <c r="E138" i="8"/>
  <c r="D138" i="8" s="1"/>
  <c r="E136" i="8"/>
  <c r="D136" i="8" s="1"/>
  <c r="E134" i="8"/>
  <c r="D134" i="8" s="1"/>
  <c r="E132" i="8"/>
  <c r="D132" i="8" s="1"/>
  <c r="E130" i="8"/>
  <c r="D130" i="8" s="1"/>
  <c r="E128" i="8"/>
  <c r="D128" i="8" s="1"/>
  <c r="E216" i="8"/>
  <c r="D216" i="8" s="1"/>
  <c r="E214" i="8"/>
  <c r="D214" i="8" s="1"/>
  <c r="E212" i="8"/>
  <c r="D212" i="8" s="1"/>
  <c r="E210" i="8"/>
  <c r="D210" i="8" s="1"/>
  <c r="E208" i="8"/>
  <c r="D208" i="8" s="1"/>
  <c r="E206" i="8"/>
  <c r="D206" i="8" s="1"/>
  <c r="E204" i="8"/>
  <c r="D204" i="8" s="1"/>
  <c r="E202" i="8"/>
  <c r="D202" i="8" s="1"/>
  <c r="E200" i="8"/>
  <c r="D200" i="8" s="1"/>
  <c r="E174" i="8"/>
  <c r="D174" i="8" s="1"/>
  <c r="E170" i="8"/>
  <c r="D170" i="8" s="1"/>
  <c r="E168" i="8"/>
  <c r="D168" i="8" s="1"/>
  <c r="E166" i="8"/>
  <c r="D166" i="8" s="1"/>
  <c r="E151" i="8"/>
  <c r="D151" i="8" s="1"/>
  <c r="E149" i="8"/>
  <c r="D149" i="8" s="1"/>
  <c r="E147" i="8"/>
  <c r="D147" i="8" s="1"/>
  <c r="E145" i="8"/>
  <c r="D145" i="8" s="1"/>
  <c r="E143" i="8"/>
  <c r="D143" i="8" s="1"/>
  <c r="E141" i="8"/>
  <c r="D141" i="8" s="1"/>
  <c r="E139" i="8"/>
  <c r="D139" i="8" s="1"/>
  <c r="E137" i="8"/>
  <c r="D137" i="8" s="1"/>
  <c r="E135" i="8"/>
  <c r="D135" i="8" s="1"/>
  <c r="E133" i="8"/>
  <c r="D133" i="8" s="1"/>
  <c r="E160" i="8"/>
  <c r="D160" i="8" s="1"/>
  <c r="E158" i="8"/>
  <c r="D158" i="8" s="1"/>
  <c r="E156" i="8"/>
  <c r="D156" i="8" s="1"/>
  <c r="E154" i="8"/>
  <c r="D154" i="8" s="1"/>
  <c r="E152" i="8"/>
  <c r="D152" i="8" s="1"/>
  <c r="E131" i="8"/>
  <c r="D131" i="8" s="1"/>
  <c r="E129" i="8"/>
  <c r="D129" i="8" s="1"/>
  <c r="E161" i="8"/>
  <c r="D161" i="8" s="1"/>
  <c r="E159" i="8"/>
  <c r="D159" i="8" s="1"/>
  <c r="E157" i="8"/>
  <c r="D157" i="8" s="1"/>
  <c r="E155" i="8"/>
  <c r="D155" i="8" s="1"/>
  <c r="E153" i="8"/>
  <c r="D153" i="8" s="1"/>
  <c r="E371" i="7"/>
  <c r="D371" i="7" s="1"/>
  <c r="E369" i="7"/>
  <c r="D369" i="7" s="1"/>
  <c r="E367" i="7"/>
  <c r="D367" i="7" s="1"/>
  <c r="E365" i="7"/>
  <c r="D365" i="7" s="1"/>
  <c r="E374" i="7"/>
  <c r="D374" i="7" s="1"/>
  <c r="E372" i="7"/>
  <c r="D372" i="7" s="1"/>
  <c r="E370" i="7"/>
  <c r="D370" i="7" s="1"/>
  <c r="E366" i="7"/>
  <c r="D366" i="7" s="1"/>
  <c r="E393" i="7"/>
  <c r="D393" i="7" s="1"/>
  <c r="E391" i="7"/>
  <c r="D391" i="7" s="1"/>
  <c r="E389" i="7"/>
  <c r="D389" i="7" s="1"/>
  <c r="E387" i="7"/>
  <c r="D387" i="7" s="1"/>
  <c r="E385" i="7"/>
  <c r="D385" i="7" s="1"/>
  <c r="E390" i="7"/>
  <c r="D390" i="7" s="1"/>
  <c r="E386" i="7"/>
  <c r="D386" i="7" s="1"/>
  <c r="E377" i="7"/>
  <c r="D377" i="7" s="1"/>
  <c r="E375" i="7"/>
  <c r="D375" i="7" s="1"/>
  <c r="E373" i="7"/>
  <c r="D373" i="7" s="1"/>
  <c r="E392" i="7"/>
  <c r="D392" i="7" s="1"/>
  <c r="E379" i="7"/>
  <c r="D379" i="7" s="1"/>
  <c r="D384" i="7"/>
  <c r="E378" i="7"/>
  <c r="D378" i="7" s="1"/>
  <c r="D382" i="7"/>
  <c r="E381" i="7"/>
  <c r="D381" i="7" s="1"/>
  <c r="E380" i="7"/>
  <c r="D380" i="7" s="1"/>
  <c r="E602" i="7"/>
  <c r="D602" i="7" s="1"/>
  <c r="E261" i="7"/>
  <c r="D261" i="7" s="1"/>
  <c r="E259" i="7"/>
  <c r="D259" i="7" s="1"/>
  <c r="E252" i="7"/>
  <c r="D252" i="7" s="1"/>
  <c r="E250" i="7"/>
  <c r="D250" i="7" s="1"/>
  <c r="E246" i="7"/>
  <c r="D246" i="7" s="1"/>
  <c r="D241" i="7"/>
  <c r="E283" i="7"/>
  <c r="D283" i="7" s="1"/>
  <c r="E281" i="7"/>
  <c r="D281" i="7" s="1"/>
  <c r="E277" i="7"/>
  <c r="D277" i="7" s="1"/>
  <c r="E273" i="7"/>
  <c r="D273" i="7" s="1"/>
  <c r="E269" i="7"/>
  <c r="D269" i="7" s="1"/>
  <c r="E265" i="7"/>
  <c r="D265" i="7" s="1"/>
  <c r="D604" i="7"/>
  <c r="E242" i="7"/>
  <c r="D242" i="7" s="1"/>
  <c r="E603" i="7"/>
  <c r="D603" i="7" s="1"/>
  <c r="E601" i="7"/>
  <c r="D601" i="7" s="1"/>
  <c r="E262" i="7"/>
  <c r="D262" i="7" s="1"/>
  <c r="E260" i="7"/>
  <c r="D260" i="7" s="1"/>
  <c r="E251" i="7"/>
  <c r="D251" i="7" s="1"/>
  <c r="E249" i="7"/>
  <c r="D249" i="7" s="1"/>
  <c r="E247" i="7"/>
  <c r="D247" i="7" s="1"/>
  <c r="E245" i="7"/>
  <c r="D245" i="7" s="1"/>
  <c r="E284" i="7"/>
  <c r="D284" i="7" s="1"/>
  <c r="E282" i="7"/>
  <c r="D282" i="7" s="1"/>
  <c r="E280" i="7"/>
  <c r="D280" i="7" s="1"/>
  <c r="E278" i="7"/>
  <c r="D278" i="7" s="1"/>
  <c r="E276" i="7"/>
  <c r="D276" i="7" s="1"/>
  <c r="E274" i="7"/>
  <c r="D274" i="7" s="1"/>
  <c r="E272" i="7"/>
  <c r="D272" i="7" s="1"/>
  <c r="E268" i="7"/>
  <c r="D268" i="7" s="1"/>
  <c r="E266" i="7"/>
  <c r="D266" i="7" s="1"/>
  <c r="E264" i="7"/>
  <c r="D264" i="7" s="1"/>
  <c r="E230" i="7"/>
  <c r="D230" i="7" s="1"/>
  <c r="D229" i="7"/>
  <c r="D129" i="7"/>
  <c r="E309" i="7"/>
  <c r="D309" i="7" s="1"/>
  <c r="E305" i="7"/>
  <c r="D305" i="7" s="1"/>
  <c r="E303" i="7"/>
  <c r="D303" i="7" s="1"/>
  <c r="E301" i="7"/>
  <c r="D301" i="7" s="1"/>
  <c r="E299" i="7"/>
  <c r="D299" i="7" s="1"/>
  <c r="E297" i="7"/>
  <c r="D297" i="7" s="1"/>
  <c r="E295" i="7"/>
  <c r="D295" i="7" s="1"/>
  <c r="E293" i="7"/>
  <c r="D293" i="7" s="1"/>
  <c r="E291" i="7"/>
  <c r="D291" i="7" s="1"/>
  <c r="E289" i="7"/>
  <c r="D289" i="7" s="1"/>
  <c r="E332" i="7"/>
  <c r="D332" i="7" s="1"/>
  <c r="E328" i="7"/>
  <c r="D328" i="7" s="1"/>
  <c r="E326" i="7"/>
  <c r="D326" i="7" s="1"/>
  <c r="E324" i="7"/>
  <c r="D324" i="7" s="1"/>
  <c r="E322" i="7"/>
  <c r="D322" i="7" s="1"/>
  <c r="E320" i="7"/>
  <c r="D320" i="7" s="1"/>
  <c r="E318" i="7"/>
  <c r="D318" i="7" s="1"/>
  <c r="E314" i="7"/>
  <c r="D314" i="7" s="1"/>
  <c r="E338" i="7"/>
  <c r="D338" i="7" s="1"/>
  <c r="E336" i="7"/>
  <c r="D336" i="7" s="1"/>
  <c r="E308" i="7"/>
  <c r="D308" i="7" s="1"/>
  <c r="E306" i="7"/>
  <c r="D306" i="7" s="1"/>
  <c r="E304" i="7"/>
  <c r="D304" i="7" s="1"/>
  <c r="E302" i="7"/>
  <c r="D302" i="7" s="1"/>
  <c r="E300" i="7"/>
  <c r="D300" i="7" s="1"/>
  <c r="E296" i="7"/>
  <c r="D296" i="7" s="1"/>
  <c r="E294" i="7"/>
  <c r="D294" i="7" s="1"/>
  <c r="E290" i="7"/>
  <c r="D290" i="7" s="1"/>
  <c r="E288" i="7"/>
  <c r="D288" i="7" s="1"/>
  <c r="E335" i="7"/>
  <c r="D335" i="7" s="1"/>
  <c r="E333" i="7"/>
  <c r="D333" i="7" s="1"/>
  <c r="E331" i="7"/>
  <c r="D331" i="7" s="1"/>
  <c r="E329" i="7"/>
  <c r="D329" i="7" s="1"/>
  <c r="E327" i="7"/>
  <c r="D327" i="7" s="1"/>
  <c r="E325" i="7"/>
  <c r="D325" i="7" s="1"/>
  <c r="E323" i="7"/>
  <c r="D323" i="7" s="1"/>
  <c r="E321" i="7"/>
  <c r="D321" i="7" s="1"/>
  <c r="E319" i="7"/>
  <c r="D319" i="7" s="1"/>
  <c r="E317" i="7"/>
  <c r="D317" i="7" s="1"/>
  <c r="E315" i="7"/>
  <c r="D315" i="7" s="1"/>
  <c r="E313" i="7"/>
  <c r="D313" i="7" s="1"/>
  <c r="E337" i="7"/>
  <c r="D337" i="7" s="1"/>
  <c r="E334" i="7"/>
  <c r="D334" i="7" s="1"/>
  <c r="E351" i="7"/>
  <c r="D351" i="7" s="1"/>
  <c r="E349" i="7"/>
  <c r="D349" i="7" s="1"/>
  <c r="E614" i="7"/>
  <c r="D614" i="7" s="1"/>
  <c r="E610" i="7"/>
  <c r="D610" i="7" s="1"/>
  <c r="E608" i="7"/>
  <c r="D608" i="7" s="1"/>
  <c r="E606" i="7"/>
  <c r="D606" i="7" s="1"/>
  <c r="E345" i="7"/>
  <c r="D345" i="7" s="1"/>
  <c r="E341" i="7"/>
  <c r="D341" i="7" s="1"/>
  <c r="E339" i="7"/>
  <c r="D339" i="7" s="1"/>
  <c r="E364" i="7"/>
  <c r="D364" i="7" s="1"/>
  <c r="E362" i="7"/>
  <c r="D362" i="7" s="1"/>
  <c r="E360" i="7"/>
  <c r="D360" i="7" s="1"/>
  <c r="E358" i="7"/>
  <c r="D358" i="7" s="1"/>
  <c r="E354" i="7"/>
  <c r="D354" i="7" s="1"/>
  <c r="D361" i="7"/>
  <c r="D359" i="7"/>
  <c r="D357" i="7"/>
  <c r="D355" i="7"/>
  <c r="E352" i="7"/>
  <c r="D352" i="7" s="1"/>
  <c r="E348" i="7"/>
  <c r="D348" i="7" s="1"/>
  <c r="E346" i="7"/>
  <c r="D346" i="7" s="1"/>
  <c r="E613" i="7"/>
  <c r="D613" i="7" s="1"/>
  <c r="E611" i="7"/>
  <c r="D611" i="7" s="1"/>
  <c r="E609" i="7"/>
  <c r="D609" i="7" s="1"/>
  <c r="E607" i="7"/>
  <c r="D607" i="7" s="1"/>
  <c r="E344" i="7"/>
  <c r="D344" i="7" s="1"/>
  <c r="E342" i="7"/>
  <c r="D342" i="7" s="1"/>
  <c r="E26" i="7"/>
  <c r="D26" i="7" s="1"/>
  <c r="E24" i="7"/>
  <c r="D24" i="7" s="1"/>
  <c r="E22" i="7"/>
  <c r="D22" i="7" s="1"/>
  <c r="E20" i="7"/>
  <c r="D20" i="7" s="1"/>
  <c r="E18" i="7"/>
  <c r="D18" i="7" s="1"/>
  <c r="E16" i="7"/>
  <c r="D16" i="7" s="1"/>
  <c r="E14" i="7"/>
  <c r="D14" i="7" s="1"/>
  <c r="E50" i="7"/>
  <c r="D50" i="7" s="1"/>
  <c r="E48" i="7"/>
  <c r="D48" i="7" s="1"/>
  <c r="E46" i="7"/>
  <c r="D46" i="7" s="1"/>
  <c r="E44" i="7"/>
  <c r="D44" i="7" s="1"/>
  <c r="E42" i="7"/>
  <c r="D42" i="7" s="1"/>
  <c r="E40" i="7"/>
  <c r="D40" i="7" s="1"/>
  <c r="E38" i="7"/>
  <c r="D38" i="7" s="1"/>
  <c r="E36" i="7"/>
  <c r="D36" i="7" s="1"/>
  <c r="E34" i="7"/>
  <c r="D34" i="7" s="1"/>
  <c r="E32" i="7"/>
  <c r="D32" i="7" s="1"/>
  <c r="E30" i="7"/>
  <c r="D30" i="7" s="1"/>
  <c r="E74" i="7"/>
  <c r="D74" i="7" s="1"/>
  <c r="E72" i="7"/>
  <c r="D72" i="7" s="1"/>
  <c r="E70" i="7"/>
  <c r="D70" i="7" s="1"/>
  <c r="E68" i="7"/>
  <c r="D68" i="7" s="1"/>
  <c r="E66" i="7"/>
  <c r="D66" i="7" s="1"/>
  <c r="E62" i="7"/>
  <c r="D62" i="7" s="1"/>
  <c r="E60" i="7"/>
  <c r="D60" i="7" s="1"/>
  <c r="E58" i="7"/>
  <c r="D58" i="7" s="1"/>
  <c r="E56" i="7"/>
  <c r="D56" i="7" s="1"/>
  <c r="E54" i="7"/>
  <c r="D54" i="7" s="1"/>
  <c r="E52" i="7"/>
  <c r="D52" i="7" s="1"/>
  <c r="E113" i="7"/>
  <c r="D113" i="7" s="1"/>
  <c r="E109" i="7"/>
  <c r="D109" i="7" s="1"/>
  <c r="E107" i="7"/>
  <c r="D107" i="7" s="1"/>
  <c r="E103" i="7"/>
  <c r="D103" i="7" s="1"/>
  <c r="E101" i="7"/>
  <c r="D101" i="7" s="1"/>
  <c r="E97" i="7"/>
  <c r="D97" i="7" s="1"/>
  <c r="E95" i="7"/>
  <c r="D95" i="7" s="1"/>
  <c r="E93" i="7"/>
  <c r="D93" i="7" s="1"/>
  <c r="E89" i="7"/>
  <c r="D89" i="7" s="1"/>
  <c r="E85" i="7"/>
  <c r="D85" i="7" s="1"/>
  <c r="E81" i="7"/>
  <c r="D81" i="7" s="1"/>
  <c r="E79" i="7"/>
  <c r="D79" i="7" s="1"/>
  <c r="E77" i="7"/>
  <c r="D77" i="7" s="1"/>
  <c r="D104" i="7"/>
  <c r="D102" i="7"/>
  <c r="D100" i="7"/>
  <c r="D98" i="7"/>
  <c r="D96" i="7"/>
  <c r="D94" i="7"/>
  <c r="D92" i="7"/>
  <c r="D90" i="7"/>
  <c r="D88" i="7"/>
  <c r="D86" i="7"/>
  <c r="D84" i="7"/>
  <c r="D82" i="7"/>
  <c r="D80" i="7"/>
  <c r="D78" i="7"/>
  <c r="D142" i="7"/>
  <c r="D140" i="7"/>
  <c r="D138" i="7"/>
  <c r="D136" i="7"/>
  <c r="D134" i="7"/>
  <c r="D132" i="7"/>
  <c r="D130" i="7"/>
  <c r="D127" i="7"/>
  <c r="E25" i="7"/>
  <c r="D25" i="7" s="1"/>
  <c r="E23" i="7"/>
  <c r="D23" i="7" s="1"/>
  <c r="E21" i="7"/>
  <c r="D21" i="7" s="1"/>
  <c r="E19" i="7"/>
  <c r="D19" i="7" s="1"/>
  <c r="E17" i="7"/>
  <c r="D17" i="7" s="1"/>
  <c r="E15" i="7"/>
  <c r="D15" i="7" s="1"/>
  <c r="E51" i="7"/>
  <c r="D51" i="7" s="1"/>
  <c r="E47" i="7"/>
  <c r="D47" i="7" s="1"/>
  <c r="E45" i="7"/>
  <c r="D45" i="7" s="1"/>
  <c r="E43" i="7"/>
  <c r="D43" i="7" s="1"/>
  <c r="E39" i="7"/>
  <c r="D39" i="7" s="1"/>
  <c r="E37" i="7"/>
  <c r="D37" i="7" s="1"/>
  <c r="E35" i="7"/>
  <c r="D35" i="7" s="1"/>
  <c r="E31" i="7"/>
  <c r="D31" i="7" s="1"/>
  <c r="E29" i="7"/>
  <c r="D29" i="7" s="1"/>
  <c r="D105" i="7"/>
  <c r="E114" i="7"/>
  <c r="D114" i="7" s="1"/>
  <c r="E108" i="7"/>
  <c r="D108" i="7" s="1"/>
  <c r="D143" i="7"/>
  <c r="D141" i="7"/>
  <c r="D139" i="7"/>
  <c r="D135" i="7"/>
  <c r="D131" i="7"/>
  <c r="D128" i="7"/>
  <c r="D126" i="7"/>
  <c r="E191" i="7"/>
  <c r="D191" i="7" s="1"/>
  <c r="E189" i="7"/>
  <c r="D189" i="7" s="1"/>
  <c r="E187" i="7"/>
  <c r="D187" i="7" s="1"/>
  <c r="E185" i="7"/>
  <c r="D185" i="7" s="1"/>
  <c r="E156" i="7"/>
  <c r="D156" i="7" s="1"/>
  <c r="E163" i="7"/>
  <c r="D163" i="7" s="1"/>
  <c r="E161" i="7"/>
  <c r="D161" i="7" s="1"/>
  <c r="E154" i="7"/>
  <c r="D154" i="7" s="1"/>
  <c r="E152" i="7"/>
  <c r="D152" i="7" s="1"/>
  <c r="E159" i="7"/>
  <c r="D159" i="7" s="1"/>
  <c r="E147" i="7"/>
  <c r="D147" i="7" s="1"/>
  <c r="E145" i="7"/>
  <c r="D145" i="7" s="1"/>
  <c r="D190" i="7"/>
  <c r="D186" i="7"/>
  <c r="D184" i="7"/>
  <c r="D162" i="7"/>
  <c r="D153" i="7"/>
  <c r="D150" i="7"/>
  <c r="D146" i="7"/>
  <c r="E155" i="7"/>
  <c r="D155" i="7" s="1"/>
  <c r="E160" i="7"/>
  <c r="D160" i="7" s="1"/>
  <c r="E151" i="7"/>
  <c r="D151" i="7" s="1"/>
  <c r="E148" i="7"/>
  <c r="D148" i="7" s="1"/>
  <c r="E144" i="7"/>
  <c r="D144" i="7" s="1"/>
  <c r="E213" i="7"/>
  <c r="D213" i="7" s="1"/>
  <c r="E211" i="7"/>
  <c r="D211" i="7" s="1"/>
  <c r="E207" i="7"/>
  <c r="D207" i="7" s="1"/>
  <c r="E203" i="7"/>
  <c r="D203" i="7" s="1"/>
  <c r="E201" i="7"/>
  <c r="D201" i="7" s="1"/>
  <c r="E199" i="7"/>
  <c r="D199" i="7" s="1"/>
  <c r="E195" i="7"/>
  <c r="D195" i="7" s="1"/>
  <c r="E193" i="7"/>
  <c r="D193" i="7" s="1"/>
  <c r="E236" i="7"/>
  <c r="D236" i="7" s="1"/>
  <c r="E232" i="7"/>
  <c r="D232" i="7" s="1"/>
  <c r="E227" i="7"/>
  <c r="D227" i="7" s="1"/>
  <c r="E225" i="7"/>
  <c r="D225" i="7" s="1"/>
  <c r="E223" i="7"/>
  <c r="D223" i="7" s="1"/>
  <c r="E220" i="7"/>
  <c r="D220" i="7" s="1"/>
  <c r="E218" i="7"/>
  <c r="D218" i="7" s="1"/>
  <c r="E216" i="7"/>
  <c r="D216" i="7" s="1"/>
  <c r="E214" i="7"/>
  <c r="D214" i="7" s="1"/>
  <c r="D235" i="7"/>
  <c r="D233" i="7"/>
  <c r="D226" i="7"/>
  <c r="D224" i="7"/>
  <c r="D221" i="7"/>
  <c r="D219" i="7"/>
  <c r="D217" i="7"/>
  <c r="E210" i="7"/>
  <c r="D210" i="7" s="1"/>
  <c r="E208" i="7"/>
  <c r="D208" i="7" s="1"/>
  <c r="E206" i="7"/>
  <c r="D206" i="7" s="1"/>
  <c r="E204" i="7"/>
  <c r="D204" i="7" s="1"/>
  <c r="E202" i="7"/>
  <c r="D202" i="7" s="1"/>
  <c r="E200" i="7"/>
  <c r="D200" i="7" s="1"/>
  <c r="E196" i="7"/>
  <c r="D196" i="7" s="1"/>
  <c r="E194" i="7"/>
  <c r="D194" i="7" s="1"/>
  <c r="E192" i="7"/>
  <c r="D192" i="7" s="1"/>
  <c r="E212" i="27"/>
  <c r="D212" i="27" s="1"/>
  <c r="H246" i="8"/>
  <c r="I246" i="8" s="1"/>
  <c r="F246" i="8" s="1"/>
  <c r="H247" i="8"/>
  <c r="I247" i="8" s="1"/>
  <c r="F247" i="8" s="1"/>
  <c r="H248" i="8"/>
  <c r="I248" i="8" s="1"/>
  <c r="F248" i="8" s="1"/>
  <c r="H249" i="8"/>
  <c r="I249" i="8" s="1"/>
  <c r="F249" i="8" s="1"/>
  <c r="H250" i="8"/>
  <c r="I250" i="8" s="1"/>
  <c r="F250" i="8" s="1"/>
  <c r="H251" i="8"/>
  <c r="I251" i="8" s="1"/>
  <c r="F251" i="8" s="1"/>
  <c r="H252" i="8"/>
  <c r="I252" i="8" s="1"/>
  <c r="F252" i="8" s="1"/>
  <c r="H253" i="8"/>
  <c r="I253" i="8" s="1"/>
  <c r="F253" i="8" s="1"/>
  <c r="H254" i="8"/>
  <c r="I254" i="8" s="1"/>
  <c r="F254" i="8" s="1"/>
  <c r="H255" i="8"/>
  <c r="I255" i="8" s="1"/>
  <c r="F255" i="8" s="1"/>
  <c r="H256" i="8"/>
  <c r="I256" i="8" s="1"/>
  <c r="F256" i="8" s="1"/>
  <c r="H266" i="8"/>
  <c r="I266" i="8" s="1"/>
  <c r="F266" i="8" s="1"/>
  <c r="H267" i="8"/>
  <c r="I267" i="8" s="1"/>
  <c r="F267" i="8" s="1"/>
  <c r="H268" i="8"/>
  <c r="I268" i="8" s="1"/>
  <c r="F268" i="8" s="1"/>
  <c r="H269" i="8"/>
  <c r="I269" i="8" s="1"/>
  <c r="F269" i="8" s="1"/>
  <c r="H270" i="8"/>
  <c r="I270" i="8" s="1"/>
  <c r="F270" i="8" s="1"/>
  <c r="H271" i="8"/>
  <c r="I271" i="8" s="1"/>
  <c r="F271" i="8" s="1"/>
  <c r="H272" i="8"/>
  <c r="I272" i="8" s="1"/>
  <c r="F272" i="8" s="1"/>
  <c r="H273" i="8"/>
  <c r="I273" i="8" s="1"/>
  <c r="F273" i="8" s="1"/>
  <c r="H274" i="8"/>
  <c r="I274" i="8" s="1"/>
  <c r="F274" i="8" s="1"/>
  <c r="H277" i="8"/>
  <c r="I277" i="8" s="1"/>
  <c r="F277" i="8" s="1"/>
  <c r="H278" i="8"/>
  <c r="I278" i="8" s="1"/>
  <c r="F278" i="8" s="1"/>
  <c r="H279" i="8"/>
  <c r="I279" i="8" s="1"/>
  <c r="F279" i="8" s="1"/>
  <c r="H280" i="8"/>
  <c r="I280" i="8" s="1"/>
  <c r="F280" i="8" s="1"/>
  <c r="H281" i="8"/>
  <c r="I281" i="8" s="1"/>
  <c r="F281" i="8" s="1"/>
  <c r="H282" i="8"/>
  <c r="I282" i="8" s="1"/>
  <c r="F282" i="8" s="1"/>
  <c r="H283" i="8"/>
  <c r="I283" i="8" s="1"/>
  <c r="F283" i="8" s="1"/>
  <c r="H284" i="8"/>
  <c r="I284" i="8" s="1"/>
  <c r="F284" i="8" s="1"/>
  <c r="H285" i="8"/>
  <c r="I285" i="8" s="1"/>
  <c r="F285" i="8" s="1"/>
  <c r="H286" i="8"/>
  <c r="I286" i="8" s="1"/>
  <c r="F286" i="8" s="1"/>
  <c r="H287" i="8"/>
  <c r="I287" i="8" s="1"/>
  <c r="F287" i="8" s="1"/>
  <c r="H288" i="8"/>
  <c r="I288" i="8" s="1"/>
  <c r="F288" i="8" s="1"/>
  <c r="H289" i="8"/>
  <c r="I289" i="8" s="1"/>
  <c r="F289" i="8" s="1"/>
  <c r="H290" i="8"/>
  <c r="I290" i="8" s="1"/>
  <c r="F290" i="8" s="1"/>
  <c r="H291" i="8"/>
  <c r="I291" i="8" s="1"/>
  <c r="F291" i="8" s="1"/>
  <c r="H294" i="8"/>
  <c r="I294" i="8" s="1"/>
  <c r="F294" i="8" s="1"/>
  <c r="H295" i="8"/>
  <c r="I295" i="8" s="1"/>
  <c r="F295" i="8" s="1"/>
  <c r="H296" i="8"/>
  <c r="I296" i="8" s="1"/>
  <c r="F296" i="8" s="1"/>
  <c r="H297" i="8"/>
  <c r="I297" i="8" s="1"/>
  <c r="F297" i="8" s="1"/>
  <c r="H298" i="8"/>
  <c r="I298" i="8" s="1"/>
  <c r="F298" i="8" s="1"/>
  <c r="H299" i="8"/>
  <c r="I299" i="8" s="1"/>
  <c r="F299" i="8" s="1"/>
  <c r="H302" i="8"/>
  <c r="I302" i="8" s="1"/>
  <c r="F302" i="8" s="1"/>
  <c r="H303" i="8"/>
  <c r="I303" i="8" s="1"/>
  <c r="F303" i="8" s="1"/>
  <c r="H304" i="8"/>
  <c r="I304" i="8" s="1"/>
  <c r="F304" i="8" s="1"/>
  <c r="H305" i="8"/>
  <c r="I305" i="8" s="1"/>
  <c r="F305" i="8" s="1"/>
  <c r="H306" i="8"/>
  <c r="I306" i="8" s="1"/>
  <c r="F306" i="8" s="1"/>
  <c r="H307" i="8"/>
  <c r="I307" i="8" s="1"/>
  <c r="F307" i="8" s="1"/>
  <c r="H310" i="8"/>
  <c r="I310" i="8" s="1"/>
  <c r="F310" i="8" s="1"/>
  <c r="H311" i="8"/>
  <c r="I311" i="8" s="1"/>
  <c r="F311" i="8" s="1"/>
  <c r="H312" i="8"/>
  <c r="I312" i="8" s="1"/>
  <c r="F312" i="8" s="1"/>
  <c r="H313" i="8"/>
  <c r="I313" i="8" s="1"/>
  <c r="F313" i="8" s="1"/>
  <c r="H314" i="8"/>
  <c r="I314" i="8" s="1"/>
  <c r="F314" i="8" s="1"/>
  <c r="H318" i="8"/>
  <c r="I318" i="8" s="1"/>
  <c r="F318" i="8" s="1"/>
  <c r="H320" i="8"/>
  <c r="I320" i="8" s="1"/>
  <c r="F320" i="8" s="1"/>
  <c r="H321" i="8"/>
  <c r="I321" i="8" s="1"/>
  <c r="F321" i="8" s="1"/>
  <c r="H119" i="8"/>
  <c r="I119" i="8" s="1"/>
  <c r="F119" i="8" s="1"/>
  <c r="H120" i="8"/>
  <c r="I120" i="8" s="1"/>
  <c r="F120" i="8" s="1"/>
  <c r="H121" i="8"/>
  <c r="I121" i="8" s="1"/>
  <c r="F121" i="8" s="1"/>
  <c r="H122" i="8"/>
  <c r="I122" i="8" s="1"/>
  <c r="F122" i="8" s="1"/>
  <c r="H123" i="8"/>
  <c r="I123" i="8" s="1"/>
  <c r="F123" i="8" s="1"/>
  <c r="H124" i="8"/>
  <c r="I124" i="8" s="1"/>
  <c r="F124" i="8" s="1"/>
  <c r="H125" i="8"/>
  <c r="I125" i="8" s="1"/>
  <c r="F125" i="8" s="1"/>
  <c r="H111" i="8"/>
  <c r="I111" i="8" s="1"/>
  <c r="F111" i="8" s="1"/>
  <c r="H112" i="8"/>
  <c r="I112" i="8" s="1"/>
  <c r="F112" i="8" s="1"/>
  <c r="H113" i="8"/>
  <c r="I113" i="8" s="1"/>
  <c r="F113" i="8" s="1"/>
  <c r="H114" i="8"/>
  <c r="I114" i="8" s="1"/>
  <c r="F114" i="8" s="1"/>
  <c r="H115" i="8"/>
  <c r="I115" i="8" s="1"/>
  <c r="F115" i="8" s="1"/>
  <c r="H116" i="8"/>
  <c r="I116" i="8" s="1"/>
  <c r="F116" i="8" s="1"/>
  <c r="H317" i="8"/>
  <c r="I317" i="8" s="1"/>
  <c r="F317" i="8" s="1"/>
  <c r="E317" i="8" s="1"/>
  <c r="D317" i="8" s="1"/>
  <c r="H309" i="8"/>
  <c r="I309" i="8" s="1"/>
  <c r="F309" i="8" s="1"/>
  <c r="E309" i="8" s="1"/>
  <c r="D309" i="8" s="1"/>
  <c r="H301" i="8"/>
  <c r="I301" i="8" s="1"/>
  <c r="F301" i="8" s="1"/>
  <c r="E301" i="8" s="1"/>
  <c r="D301" i="8" s="1"/>
  <c r="H293" i="8"/>
  <c r="I293" i="8" s="1"/>
  <c r="F293" i="8" s="1"/>
  <c r="E293" i="8" s="1"/>
  <c r="D293" i="8" s="1"/>
  <c r="H276" i="8"/>
  <c r="I276" i="8" s="1"/>
  <c r="F276" i="8" s="1"/>
  <c r="E276" i="8" s="1"/>
  <c r="D276" i="8" s="1"/>
  <c r="H265" i="8"/>
  <c r="I265" i="8" s="1"/>
  <c r="F265" i="8" s="1"/>
  <c r="E265" i="8" s="1"/>
  <c r="D265" i="8" s="1"/>
  <c r="H245" i="8"/>
  <c r="I245" i="8" s="1"/>
  <c r="F245" i="8" s="1"/>
  <c r="E245" i="8" s="1"/>
  <c r="D245" i="8" s="1"/>
  <c r="H176" i="8"/>
  <c r="I176" i="8" s="1"/>
  <c r="F176" i="8" s="1"/>
  <c r="E176" i="8" s="1"/>
  <c r="D176" i="8" s="1"/>
  <c r="H172" i="8"/>
  <c r="I172" i="8" s="1"/>
  <c r="F172" i="8" s="1"/>
  <c r="E172" i="8" s="1"/>
  <c r="D172" i="8" s="1"/>
  <c r="H164" i="8"/>
  <c r="I164" i="8" s="1"/>
  <c r="F164" i="8" s="1"/>
  <c r="E164" i="8" s="1"/>
  <c r="D164" i="8" s="1"/>
  <c r="H127" i="8"/>
  <c r="I127" i="8" s="1"/>
  <c r="F127" i="8" s="1"/>
  <c r="E127" i="8" s="1"/>
  <c r="D127" i="8" s="1"/>
  <c r="H118" i="8"/>
  <c r="I118" i="8" s="1"/>
  <c r="F118" i="8" s="1"/>
  <c r="E118" i="8" s="1"/>
  <c r="D118" i="8" s="1"/>
  <c r="H110" i="8"/>
  <c r="I110" i="8" s="1"/>
  <c r="F110" i="8" s="1"/>
  <c r="E110" i="8" s="1"/>
  <c r="D110" i="8" s="1"/>
  <c r="H108" i="8"/>
  <c r="I108" i="8" s="1"/>
  <c r="F108" i="8" s="1"/>
  <c r="H104" i="8"/>
  <c r="I104" i="8" s="1"/>
  <c r="F104" i="8" s="1"/>
  <c r="H105" i="8"/>
  <c r="I105" i="8" s="1"/>
  <c r="F105" i="8" s="1"/>
  <c r="H106" i="8"/>
  <c r="I106" i="8" s="1"/>
  <c r="F106" i="8" s="1"/>
  <c r="H107" i="8"/>
  <c r="I107" i="8" s="1"/>
  <c r="F107" i="8" s="1"/>
  <c r="H103" i="8"/>
  <c r="I103" i="8" s="1"/>
  <c r="F103" i="8" s="1"/>
  <c r="E103" i="8" s="1"/>
  <c r="D103" i="8" s="1"/>
  <c r="H97" i="8"/>
  <c r="I97" i="8" s="1"/>
  <c r="F97" i="8" s="1"/>
  <c r="H98" i="8"/>
  <c r="I98" i="8" s="1"/>
  <c r="F98" i="8" s="1"/>
  <c r="H99" i="8"/>
  <c r="I99" i="8" s="1"/>
  <c r="F99" i="8" s="1"/>
  <c r="E99" i="8" s="1"/>
  <c r="H100" i="8"/>
  <c r="I100" i="8" s="1"/>
  <c r="F100" i="8" s="1"/>
  <c r="H101" i="8"/>
  <c r="I101" i="8" s="1"/>
  <c r="F101" i="8" s="1"/>
  <c r="F96" i="8"/>
  <c r="E96" i="8" s="1"/>
  <c r="D96" i="8" s="1"/>
  <c r="H96" i="8"/>
  <c r="I96" i="8" s="1"/>
  <c r="H93" i="8"/>
  <c r="I93" i="8" s="1"/>
  <c r="H81" i="8"/>
  <c r="I81" i="8" s="1"/>
  <c r="F81" i="8" s="1"/>
  <c r="H82" i="8"/>
  <c r="I82" i="8" s="1"/>
  <c r="F82" i="8" s="1"/>
  <c r="H83" i="8"/>
  <c r="I83" i="8" s="1"/>
  <c r="F83" i="8" s="1"/>
  <c r="H84" i="8"/>
  <c r="I84" i="8" s="1"/>
  <c r="F84" i="8" s="1"/>
  <c r="H85" i="8"/>
  <c r="I85" i="8" s="1"/>
  <c r="F85" i="8" s="1"/>
  <c r="H86" i="8"/>
  <c r="I86" i="8" s="1"/>
  <c r="F86" i="8" s="1"/>
  <c r="H87" i="8"/>
  <c r="I87" i="8" s="1"/>
  <c r="F87" i="8" s="1"/>
  <c r="H88" i="8"/>
  <c r="I88" i="8" s="1"/>
  <c r="F88" i="8" s="1"/>
  <c r="H89" i="8"/>
  <c r="I89" i="8" s="1"/>
  <c r="F89" i="8" s="1"/>
  <c r="H90" i="8"/>
  <c r="I90" i="8" s="1"/>
  <c r="F90" i="8" s="1"/>
  <c r="H91" i="8"/>
  <c r="I91" i="8" s="1"/>
  <c r="F91" i="8" s="1"/>
  <c r="H92" i="8"/>
  <c r="I92" i="8" s="1"/>
  <c r="H64" i="8"/>
  <c r="I64" i="8" s="1"/>
  <c r="F64" i="8" s="1"/>
  <c r="H65" i="8"/>
  <c r="I65" i="8" s="1"/>
  <c r="F65" i="8" s="1"/>
  <c r="H66" i="8"/>
  <c r="I66" i="8" s="1"/>
  <c r="F66" i="8" s="1"/>
  <c r="H67" i="8"/>
  <c r="I67" i="8" s="1"/>
  <c r="F67" i="8" s="1"/>
  <c r="H68" i="8"/>
  <c r="I68" i="8" s="1"/>
  <c r="F68" i="8" s="1"/>
  <c r="H69" i="8"/>
  <c r="I69" i="8" s="1"/>
  <c r="F69" i="8" s="1"/>
  <c r="H70" i="8"/>
  <c r="I70" i="8" s="1"/>
  <c r="F70" i="8" s="1"/>
  <c r="H71" i="8"/>
  <c r="I71" i="8" s="1"/>
  <c r="F71" i="8" s="1"/>
  <c r="H72" i="8"/>
  <c r="I72" i="8" s="1"/>
  <c r="F72" i="8" s="1"/>
  <c r="H73" i="8"/>
  <c r="I73" i="8" s="1"/>
  <c r="F73" i="8" s="1"/>
  <c r="H74" i="8"/>
  <c r="I74" i="8" s="1"/>
  <c r="F74" i="8" s="1"/>
  <c r="H75" i="8"/>
  <c r="I75" i="8" s="1"/>
  <c r="F75" i="8" s="1"/>
  <c r="H76" i="8"/>
  <c r="I76" i="8" s="1"/>
  <c r="F76" i="8" s="1"/>
  <c r="H77" i="8"/>
  <c r="I77" i="8" s="1"/>
  <c r="F77" i="8" s="1"/>
  <c r="H78" i="8"/>
  <c r="I78" i="8" s="1"/>
  <c r="F78" i="8" s="1"/>
  <c r="H79" i="8"/>
  <c r="I79" i="8" s="1"/>
  <c r="F79" i="8" s="1"/>
  <c r="H80" i="8"/>
  <c r="I80" i="8" s="1"/>
  <c r="F80" i="8" s="1"/>
  <c r="H63" i="8"/>
  <c r="I63" i="8" s="1"/>
  <c r="F63" i="8" s="1"/>
  <c r="E63" i="8" s="1"/>
  <c r="D63" i="8" s="1"/>
  <c r="H46" i="8"/>
  <c r="I46" i="8" s="1"/>
  <c r="F46" i="8" s="1"/>
  <c r="H47" i="8"/>
  <c r="I47" i="8" s="1"/>
  <c r="F47" i="8" s="1"/>
  <c r="H48" i="8"/>
  <c r="I48" i="8" s="1"/>
  <c r="F48" i="8" s="1"/>
  <c r="H49" i="8"/>
  <c r="I49" i="8" s="1"/>
  <c r="F49" i="8" s="1"/>
  <c r="H50" i="8"/>
  <c r="I50" i="8" s="1"/>
  <c r="F50" i="8" s="1"/>
  <c r="H51" i="8"/>
  <c r="I51" i="8" s="1"/>
  <c r="F51" i="8" s="1"/>
  <c r="H52" i="8"/>
  <c r="I52" i="8" s="1"/>
  <c r="F52" i="8" s="1"/>
  <c r="H53" i="8"/>
  <c r="I53" i="8" s="1"/>
  <c r="F53" i="8" s="1"/>
  <c r="H54" i="8"/>
  <c r="I54" i="8" s="1"/>
  <c r="F54" i="8" s="1"/>
  <c r="H55" i="8"/>
  <c r="I55" i="8" s="1"/>
  <c r="F55" i="8" s="1"/>
  <c r="H56" i="8"/>
  <c r="I56" i="8" s="1"/>
  <c r="F56" i="8" s="1"/>
  <c r="H57" i="8"/>
  <c r="I57" i="8" s="1"/>
  <c r="F57" i="8" s="1"/>
  <c r="H58" i="8"/>
  <c r="I58" i="8" s="1"/>
  <c r="F58" i="8" s="1"/>
  <c r="H59" i="8"/>
  <c r="I59" i="8" s="1"/>
  <c r="F59" i="8" s="1"/>
  <c r="H60" i="8"/>
  <c r="I60" i="8" s="1"/>
  <c r="F60" i="8" s="1"/>
  <c r="H61" i="8"/>
  <c r="I61" i="8" s="1"/>
  <c r="F61" i="8" s="1"/>
  <c r="H45" i="8"/>
  <c r="I45" i="8" s="1"/>
  <c r="F45" i="8" s="1"/>
  <c r="E45" i="8" s="1"/>
  <c r="D45" i="8" s="1"/>
  <c r="H41" i="8"/>
  <c r="I41" i="8" s="1"/>
  <c r="F41" i="8" s="1"/>
  <c r="H42" i="8"/>
  <c r="I42" i="8" s="1"/>
  <c r="F42" i="8" s="1"/>
  <c r="E42" i="8" s="1"/>
  <c r="H43" i="8"/>
  <c r="I43" i="8" s="1"/>
  <c r="F43" i="8" s="1"/>
  <c r="H40" i="8"/>
  <c r="I40" i="8" s="1"/>
  <c r="F40" i="8" s="1"/>
  <c r="E40" i="8" s="1"/>
  <c r="D40" i="8" s="1"/>
  <c r="H12" i="8"/>
  <c r="I12" i="8" s="1"/>
  <c r="F12" i="8" s="1"/>
  <c r="H13" i="8"/>
  <c r="I13" i="8" s="1"/>
  <c r="F13" i="8" s="1"/>
  <c r="H14" i="8"/>
  <c r="I14" i="8" s="1"/>
  <c r="F14" i="8" s="1"/>
  <c r="H15" i="8"/>
  <c r="I15" i="8" s="1"/>
  <c r="F15" i="8" s="1"/>
  <c r="H16" i="8"/>
  <c r="I16" i="8" s="1"/>
  <c r="F16" i="8" s="1"/>
  <c r="H17" i="8"/>
  <c r="I17" i="8" s="1"/>
  <c r="F17" i="8" s="1"/>
  <c r="H18" i="8"/>
  <c r="I18" i="8" s="1"/>
  <c r="F18" i="8" s="1"/>
  <c r="H19" i="8"/>
  <c r="I19" i="8" s="1"/>
  <c r="F19" i="8" s="1"/>
  <c r="H20" i="8"/>
  <c r="I20" i="8" s="1"/>
  <c r="F20" i="8" s="1"/>
  <c r="H21" i="8"/>
  <c r="I21" i="8" s="1"/>
  <c r="F21" i="8" s="1"/>
  <c r="H22" i="8"/>
  <c r="I22" i="8" s="1"/>
  <c r="F22" i="8" s="1"/>
  <c r="H23" i="8"/>
  <c r="I23" i="8" s="1"/>
  <c r="F23" i="8" s="1"/>
  <c r="H24" i="8"/>
  <c r="I24" i="8" s="1"/>
  <c r="F24" i="8" s="1"/>
  <c r="H25" i="8"/>
  <c r="I25" i="8" s="1"/>
  <c r="F25" i="8" s="1"/>
  <c r="H26" i="8"/>
  <c r="I26" i="8" s="1"/>
  <c r="F26" i="8" s="1"/>
  <c r="H27" i="8"/>
  <c r="I27" i="8" s="1"/>
  <c r="F27" i="8" s="1"/>
  <c r="H28" i="8"/>
  <c r="I28" i="8" s="1"/>
  <c r="F28" i="8" s="1"/>
  <c r="H29" i="8"/>
  <c r="I29" i="8" s="1"/>
  <c r="F29" i="8" s="1"/>
  <c r="H30" i="8"/>
  <c r="I30" i="8" s="1"/>
  <c r="F30" i="8" s="1"/>
  <c r="H31" i="8"/>
  <c r="I31" i="8" s="1"/>
  <c r="F31" i="8" s="1"/>
  <c r="H32" i="8"/>
  <c r="I32" i="8" s="1"/>
  <c r="F32" i="8" s="1"/>
  <c r="H33" i="8"/>
  <c r="I33" i="8" s="1"/>
  <c r="F33" i="8" s="1"/>
  <c r="H34" i="8"/>
  <c r="I34" i="8" s="1"/>
  <c r="F34" i="8" s="1"/>
  <c r="H35" i="8"/>
  <c r="I35" i="8" s="1"/>
  <c r="F35" i="8" s="1"/>
  <c r="H36" i="8"/>
  <c r="I36" i="8" s="1"/>
  <c r="F36" i="8" s="1"/>
  <c r="H37" i="8"/>
  <c r="I37" i="8" s="1"/>
  <c r="F37" i="8" s="1"/>
  <c r="H38" i="8"/>
  <c r="I38" i="8" s="1"/>
  <c r="H11" i="8"/>
  <c r="I11" i="8" s="1"/>
  <c r="F11" i="8" s="1"/>
  <c r="E58" i="8" l="1"/>
  <c r="D58" i="8" s="1"/>
  <c r="E54" i="8"/>
  <c r="D54" i="8" s="1"/>
  <c r="E50" i="8"/>
  <c r="D50" i="8" s="1"/>
  <c r="E46" i="8"/>
  <c r="D46" i="8" s="1"/>
  <c r="E61" i="8"/>
  <c r="D61" i="8" s="1"/>
  <c r="E59" i="8"/>
  <c r="D59" i="8" s="1"/>
  <c r="E57" i="8"/>
  <c r="D57" i="8" s="1"/>
  <c r="E55" i="8"/>
  <c r="D55" i="8" s="1"/>
  <c r="E53" i="8"/>
  <c r="D53" i="8" s="1"/>
  <c r="E51" i="8"/>
  <c r="D51" i="8" s="1"/>
  <c r="E49" i="8"/>
  <c r="D49" i="8" s="1"/>
  <c r="E47" i="8"/>
  <c r="D47" i="8" s="1"/>
  <c r="E78" i="8"/>
  <c r="D78" i="8" s="1"/>
  <c r="E74" i="8"/>
  <c r="D74" i="8" s="1"/>
  <c r="E70" i="8"/>
  <c r="D70" i="8" s="1"/>
  <c r="E66" i="8"/>
  <c r="D66" i="8" s="1"/>
  <c r="E92" i="8"/>
  <c r="D92" i="8" s="1"/>
  <c r="E90" i="8"/>
  <c r="D90" i="8" s="1"/>
  <c r="E88" i="8"/>
  <c r="D88" i="8" s="1"/>
  <c r="E86" i="8"/>
  <c r="D86" i="8" s="1"/>
  <c r="E84" i="8"/>
  <c r="D84" i="8" s="1"/>
  <c r="E82" i="8"/>
  <c r="D82" i="8" s="1"/>
  <c r="E93" i="8"/>
  <c r="D93" i="8" s="1"/>
  <c r="E100" i="8"/>
  <c r="D100" i="8" s="1"/>
  <c r="E98" i="8"/>
  <c r="D98" i="8" s="1"/>
  <c r="E60" i="8"/>
  <c r="D60" i="8" s="1"/>
  <c r="E56" i="8"/>
  <c r="D56" i="8" s="1"/>
  <c r="E52" i="8"/>
  <c r="D52" i="8" s="1"/>
  <c r="E48" i="8"/>
  <c r="D48" i="8" s="1"/>
  <c r="E79" i="8"/>
  <c r="D79" i="8" s="1"/>
  <c r="E77" i="8"/>
  <c r="D77" i="8" s="1"/>
  <c r="E75" i="8"/>
  <c r="D75" i="8" s="1"/>
  <c r="E73" i="8"/>
  <c r="D73" i="8" s="1"/>
  <c r="E71" i="8"/>
  <c r="D71" i="8" s="1"/>
  <c r="E69" i="8"/>
  <c r="D69" i="8" s="1"/>
  <c r="E67" i="8"/>
  <c r="D67" i="8" s="1"/>
  <c r="E65" i="8"/>
  <c r="D65" i="8" s="1"/>
  <c r="E80" i="8"/>
  <c r="D80" i="8" s="1"/>
  <c r="E76" i="8"/>
  <c r="D76" i="8" s="1"/>
  <c r="E72" i="8"/>
  <c r="D72" i="8" s="1"/>
  <c r="E68" i="8"/>
  <c r="D68" i="8" s="1"/>
  <c r="E64" i="8"/>
  <c r="D64" i="8" s="1"/>
  <c r="E91" i="8"/>
  <c r="D91" i="8" s="1"/>
  <c r="E89" i="8"/>
  <c r="D89" i="8" s="1"/>
  <c r="E87" i="8"/>
  <c r="D87" i="8" s="1"/>
  <c r="E85" i="8"/>
  <c r="D85" i="8" s="1"/>
  <c r="E83" i="8"/>
  <c r="D83" i="8" s="1"/>
  <c r="E81" i="8"/>
  <c r="D81" i="8" s="1"/>
  <c r="E106" i="8"/>
  <c r="D106" i="8" s="1"/>
  <c r="E104" i="8"/>
  <c r="D104" i="8" s="1"/>
  <c r="E116" i="8"/>
  <c r="D116" i="8" s="1"/>
  <c r="E114" i="8"/>
  <c r="D114" i="8" s="1"/>
  <c r="E112" i="8"/>
  <c r="D112" i="8" s="1"/>
  <c r="E125" i="8"/>
  <c r="D125" i="8" s="1"/>
  <c r="E123" i="8"/>
  <c r="D123" i="8" s="1"/>
  <c r="E121" i="8"/>
  <c r="D121" i="8" s="1"/>
  <c r="E119" i="8"/>
  <c r="D119" i="8" s="1"/>
  <c r="E321" i="8"/>
  <c r="D321" i="8" s="1"/>
  <c r="E318" i="8"/>
  <c r="D318" i="8" s="1"/>
  <c r="E312" i="8"/>
  <c r="D312" i="8" s="1"/>
  <c r="E307" i="8"/>
  <c r="D307" i="8" s="1"/>
  <c r="E305" i="8"/>
  <c r="D305" i="8" s="1"/>
  <c r="E303" i="8"/>
  <c r="D303" i="8" s="1"/>
  <c r="E299" i="8"/>
  <c r="D299" i="8" s="1"/>
  <c r="E297" i="8"/>
  <c r="D297" i="8" s="1"/>
  <c r="E295" i="8"/>
  <c r="D295" i="8" s="1"/>
  <c r="E291" i="8"/>
  <c r="D291" i="8" s="1"/>
  <c r="E289" i="8"/>
  <c r="D289" i="8" s="1"/>
  <c r="E287" i="8"/>
  <c r="D287" i="8" s="1"/>
  <c r="E285" i="8"/>
  <c r="D285" i="8" s="1"/>
  <c r="E283" i="8"/>
  <c r="D283" i="8" s="1"/>
  <c r="E281" i="8"/>
  <c r="D281" i="8" s="1"/>
  <c r="E279" i="8"/>
  <c r="D279" i="8" s="1"/>
  <c r="E277" i="8"/>
  <c r="D277" i="8" s="1"/>
  <c r="E288" i="8"/>
  <c r="D288" i="8" s="1"/>
  <c r="E284" i="8"/>
  <c r="D284" i="8" s="1"/>
  <c r="E280" i="8"/>
  <c r="D280" i="8" s="1"/>
  <c r="E272" i="8"/>
  <c r="D272" i="8" s="1"/>
  <c r="E268" i="8"/>
  <c r="D268" i="8" s="1"/>
  <c r="E256" i="8"/>
  <c r="D256" i="8" s="1"/>
  <c r="E254" i="8"/>
  <c r="D254" i="8" s="1"/>
  <c r="E252" i="8"/>
  <c r="D252" i="8" s="1"/>
  <c r="E250" i="8"/>
  <c r="D250" i="8" s="1"/>
  <c r="E248" i="8"/>
  <c r="D248" i="8" s="1"/>
  <c r="E246" i="8"/>
  <c r="D246" i="8" s="1"/>
  <c r="E253" i="8"/>
  <c r="D253" i="8" s="1"/>
  <c r="E249" i="8"/>
  <c r="D249" i="8" s="1"/>
  <c r="D99" i="8"/>
  <c r="E101" i="8"/>
  <c r="D101" i="8" s="1"/>
  <c r="E97" i="8"/>
  <c r="D97" i="8" s="1"/>
  <c r="E107" i="8"/>
  <c r="D107" i="8" s="1"/>
  <c r="E105" i="8"/>
  <c r="D105" i="8" s="1"/>
  <c r="E108" i="8"/>
  <c r="D108" i="8" s="1"/>
  <c r="E115" i="8"/>
  <c r="D115" i="8" s="1"/>
  <c r="E113" i="8"/>
  <c r="D113" i="8" s="1"/>
  <c r="E111" i="8"/>
  <c r="D111" i="8" s="1"/>
  <c r="E320" i="8"/>
  <c r="D320" i="8" s="1"/>
  <c r="E313" i="8"/>
  <c r="D313" i="8" s="1"/>
  <c r="E311" i="8"/>
  <c r="D311" i="8" s="1"/>
  <c r="E314" i="8"/>
  <c r="D314" i="8" s="1"/>
  <c r="E310" i="8"/>
  <c r="D310" i="8" s="1"/>
  <c r="E306" i="8"/>
  <c r="D306" i="8" s="1"/>
  <c r="E304" i="8"/>
  <c r="D304" i="8" s="1"/>
  <c r="E302" i="8"/>
  <c r="D302" i="8" s="1"/>
  <c r="E298" i="8"/>
  <c r="D298" i="8" s="1"/>
  <c r="E296" i="8"/>
  <c r="D296" i="8" s="1"/>
  <c r="E294" i="8"/>
  <c r="D294" i="8" s="1"/>
  <c r="E290" i="8"/>
  <c r="D290" i="8" s="1"/>
  <c r="E286" i="8"/>
  <c r="D286" i="8" s="1"/>
  <c r="E282" i="8"/>
  <c r="D282" i="8" s="1"/>
  <c r="E278" i="8"/>
  <c r="D278" i="8" s="1"/>
  <c r="E273" i="8"/>
  <c r="D273" i="8" s="1"/>
  <c r="E271" i="8"/>
  <c r="D271" i="8" s="1"/>
  <c r="E269" i="8"/>
  <c r="D269" i="8" s="1"/>
  <c r="E267" i="8"/>
  <c r="D267" i="8" s="1"/>
  <c r="E274" i="8"/>
  <c r="D274" i="8" s="1"/>
  <c r="E270" i="8"/>
  <c r="D270" i="8" s="1"/>
  <c r="E266" i="8"/>
  <c r="D266" i="8" s="1"/>
  <c r="E255" i="8"/>
  <c r="D255" i="8" s="1"/>
  <c r="E251" i="8"/>
  <c r="D251" i="8" s="1"/>
  <c r="E247" i="8"/>
  <c r="D247" i="8" s="1"/>
  <c r="E124" i="8"/>
  <c r="D124" i="8" s="1"/>
  <c r="E122" i="8"/>
  <c r="D122" i="8" s="1"/>
  <c r="E120" i="8"/>
  <c r="D120" i="8" s="1"/>
  <c r="D42" i="8"/>
  <c r="E43" i="8"/>
  <c r="D43" i="8" s="1"/>
  <c r="E41" i="8"/>
  <c r="D41" i="8" s="1"/>
  <c r="E11" i="8"/>
  <c r="D11" i="8" s="1"/>
  <c r="E37" i="8"/>
  <c r="D37" i="8" s="1"/>
  <c r="E35" i="8"/>
  <c r="D35" i="8" s="1"/>
  <c r="E33" i="8"/>
  <c r="D33" i="8" s="1"/>
  <c r="E31" i="8"/>
  <c r="D31" i="8" s="1"/>
  <c r="E29" i="8"/>
  <c r="D29" i="8" s="1"/>
  <c r="E27" i="8"/>
  <c r="D27" i="8" s="1"/>
  <c r="E25" i="8"/>
  <c r="D25" i="8" s="1"/>
  <c r="E23" i="8"/>
  <c r="D23" i="8" s="1"/>
  <c r="E21" i="8"/>
  <c r="D21" i="8" s="1"/>
  <c r="E19" i="8"/>
  <c r="D19" i="8" s="1"/>
  <c r="E17" i="8"/>
  <c r="D17" i="8" s="1"/>
  <c r="E15" i="8"/>
  <c r="D15" i="8" s="1"/>
  <c r="E13" i="8"/>
  <c r="D13" i="8" s="1"/>
  <c r="E38" i="8"/>
  <c r="D38" i="8" s="1"/>
  <c r="E36" i="8"/>
  <c r="D36" i="8" s="1"/>
  <c r="E34" i="8"/>
  <c r="D34" i="8" s="1"/>
  <c r="E32" i="8"/>
  <c r="D32" i="8" s="1"/>
  <c r="E30" i="8"/>
  <c r="D30" i="8" s="1"/>
  <c r="E28" i="8"/>
  <c r="D28" i="8" s="1"/>
  <c r="E26" i="8"/>
  <c r="D26" i="8" s="1"/>
  <c r="E24" i="8"/>
  <c r="D24" i="8" s="1"/>
  <c r="E22" i="8"/>
  <c r="D22" i="8" s="1"/>
  <c r="E20" i="8"/>
  <c r="D20" i="8" s="1"/>
  <c r="E18" i="8"/>
  <c r="D18" i="8" s="1"/>
  <c r="E16" i="8"/>
  <c r="D16" i="8" s="1"/>
  <c r="E14" i="8"/>
  <c r="D14" i="8" s="1"/>
  <c r="E12" i="8"/>
  <c r="D12" i="8" s="1"/>
  <c r="D469" i="28"/>
  <c r="E469" i="28" s="1"/>
  <c r="D468" i="28"/>
  <c r="E468" i="28" s="1"/>
  <c r="D467" i="28"/>
  <c r="E467" i="28" s="1"/>
  <c r="D466" i="28"/>
  <c r="E466" i="28" s="1"/>
  <c r="D465" i="28"/>
  <c r="E465" i="28" s="1"/>
  <c r="D463" i="28"/>
  <c r="E463" i="28" s="1"/>
  <c r="D462" i="28"/>
  <c r="E462" i="28" s="1"/>
  <c r="D433" i="28"/>
  <c r="E433" i="28" s="1"/>
  <c r="D434" i="28"/>
  <c r="E434" i="28" s="1"/>
  <c r="D435" i="28"/>
  <c r="E435" i="28" s="1"/>
  <c r="D436" i="28"/>
  <c r="E436" i="28" s="1"/>
  <c r="D437" i="28"/>
  <c r="E437" i="28" s="1"/>
  <c r="D438" i="28"/>
  <c r="E438" i="28" s="1"/>
  <c r="D439" i="28"/>
  <c r="E439" i="28" s="1"/>
  <c r="D440" i="28"/>
  <c r="E440" i="28" s="1"/>
  <c r="D441" i="28"/>
  <c r="E441" i="28" s="1"/>
  <c r="D442" i="28"/>
  <c r="E442" i="28" s="1"/>
  <c r="D443" i="28"/>
  <c r="E443" i="28" s="1"/>
  <c r="D444" i="28"/>
  <c r="E444" i="28" s="1"/>
  <c r="D445" i="28"/>
  <c r="E445" i="28" s="1"/>
  <c r="D446" i="28"/>
  <c r="E446" i="28" s="1"/>
  <c r="D447" i="28"/>
  <c r="E447" i="28" s="1"/>
  <c r="D448" i="28"/>
  <c r="E448" i="28" s="1"/>
  <c r="D449" i="28"/>
  <c r="E449" i="28" s="1"/>
  <c r="D450" i="28"/>
  <c r="E450" i="28" s="1"/>
  <c r="D451" i="28"/>
  <c r="E451" i="28" s="1"/>
  <c r="D452" i="28"/>
  <c r="E452" i="28" s="1"/>
  <c r="D453" i="28"/>
  <c r="E453" i="28" s="1"/>
  <c r="D454" i="28"/>
  <c r="E454" i="28" s="1"/>
  <c r="D455" i="28"/>
  <c r="E455" i="28" s="1"/>
  <c r="D456" i="28"/>
  <c r="E456" i="28" s="1"/>
  <c r="D457" i="28"/>
  <c r="E457" i="28" s="1"/>
  <c r="D458" i="28"/>
  <c r="E458" i="28" s="1"/>
  <c r="D459" i="28"/>
  <c r="E459" i="28" s="1"/>
  <c r="D460" i="28"/>
  <c r="E460" i="28" s="1"/>
  <c r="D432" i="28"/>
  <c r="E432" i="28" s="1"/>
  <c r="D431" i="28"/>
  <c r="E431" i="28" s="1"/>
  <c r="D430" i="28"/>
  <c r="E430" i="28" s="1"/>
  <c r="D428" i="28"/>
  <c r="E428" i="28" s="1"/>
  <c r="D427" i="28"/>
  <c r="E427" i="28" s="1"/>
  <c r="D426" i="28"/>
  <c r="E426" i="28" s="1"/>
  <c r="D425" i="28"/>
  <c r="E425" i="28" s="1"/>
  <c r="D424" i="28"/>
  <c r="E424" i="28" s="1"/>
  <c r="D423" i="28"/>
  <c r="E423" i="28" s="1"/>
  <c r="D422" i="28"/>
  <c r="E422" i="28" s="1"/>
  <c r="D421" i="28"/>
  <c r="E421" i="28" s="1"/>
  <c r="D420" i="28"/>
  <c r="E420" i="28" s="1"/>
  <c r="D408" i="28"/>
  <c r="E408" i="28" s="1"/>
  <c r="D409" i="28"/>
  <c r="E409" i="28" s="1"/>
  <c r="D410" i="28"/>
  <c r="E410" i="28" s="1"/>
  <c r="D411" i="28"/>
  <c r="E411" i="28" s="1"/>
  <c r="D412" i="28"/>
  <c r="E412" i="28" s="1"/>
  <c r="D413" i="28"/>
  <c r="E413" i="28" s="1"/>
  <c r="D414" i="28"/>
  <c r="E414" i="28" s="1"/>
  <c r="D415" i="28"/>
  <c r="E415" i="28" s="1"/>
  <c r="D416" i="28"/>
  <c r="E416" i="28" s="1"/>
  <c r="D417" i="28"/>
  <c r="E417" i="28" s="1"/>
  <c r="D418" i="28"/>
  <c r="E418" i="28" s="1"/>
  <c r="D406" i="28"/>
  <c r="E406" i="28" s="1"/>
  <c r="D407" i="28"/>
  <c r="E407" i="28" s="1"/>
  <c r="D405" i="28"/>
  <c r="E405" i="28" s="1"/>
  <c r="D352" i="28"/>
  <c r="E352" i="28" s="1"/>
  <c r="D353" i="28"/>
  <c r="E353" i="28" s="1"/>
  <c r="D354" i="28"/>
  <c r="E354" i="28" s="1"/>
  <c r="D355" i="28"/>
  <c r="E355" i="28" s="1"/>
  <c r="D356" i="28"/>
  <c r="E356" i="28" s="1"/>
  <c r="D357" i="28"/>
  <c r="E357" i="28" s="1"/>
  <c r="D358" i="28"/>
  <c r="E358" i="28" s="1"/>
  <c r="D359" i="28"/>
  <c r="E359" i="28" s="1"/>
  <c r="D360" i="28"/>
  <c r="E360" i="28" s="1"/>
  <c r="D361" i="28"/>
  <c r="E361" i="28" s="1"/>
  <c r="D362" i="28"/>
  <c r="E362" i="28" s="1"/>
  <c r="D363" i="28"/>
  <c r="E363" i="28" s="1"/>
  <c r="D364" i="28"/>
  <c r="E364" i="28" s="1"/>
  <c r="D365" i="28"/>
  <c r="E365" i="28" s="1"/>
  <c r="D366" i="28"/>
  <c r="E366" i="28" s="1"/>
  <c r="D367" i="28"/>
  <c r="E367" i="28" s="1"/>
  <c r="D368" i="28"/>
  <c r="E368" i="28" s="1"/>
  <c r="D369" i="28"/>
  <c r="E369" i="28" s="1"/>
  <c r="D370" i="28"/>
  <c r="E370" i="28" s="1"/>
  <c r="D371" i="28"/>
  <c r="E371" i="28" s="1"/>
  <c r="D372" i="28"/>
  <c r="E372" i="28" s="1"/>
  <c r="D373" i="28"/>
  <c r="E373" i="28" s="1"/>
  <c r="D374" i="28"/>
  <c r="E374" i="28" s="1"/>
  <c r="D375" i="28"/>
  <c r="E375" i="28" s="1"/>
  <c r="D376" i="28"/>
  <c r="E376" i="28" s="1"/>
  <c r="D377" i="28"/>
  <c r="E377" i="28" s="1"/>
  <c r="D378" i="28"/>
  <c r="E378" i="28" s="1"/>
  <c r="D379" i="28"/>
  <c r="E379" i="28" s="1"/>
  <c r="D380" i="28"/>
  <c r="E380" i="28" s="1"/>
  <c r="D381" i="28"/>
  <c r="E381" i="28" s="1"/>
  <c r="D382" i="28"/>
  <c r="E382" i="28" s="1"/>
  <c r="D383" i="28"/>
  <c r="E383" i="28" s="1"/>
  <c r="D384" i="28"/>
  <c r="E384" i="28" s="1"/>
  <c r="D385" i="28"/>
  <c r="E385" i="28" s="1"/>
  <c r="D386" i="28"/>
  <c r="E386" i="28" s="1"/>
  <c r="D387" i="28"/>
  <c r="E387" i="28" s="1"/>
  <c r="D388" i="28"/>
  <c r="E388" i="28" s="1"/>
  <c r="D389" i="28"/>
  <c r="E389" i="28" s="1"/>
  <c r="D390" i="28"/>
  <c r="E390" i="28" s="1"/>
  <c r="D391" i="28"/>
  <c r="E391" i="28" s="1"/>
  <c r="D392" i="28"/>
  <c r="E392" i="28" s="1"/>
  <c r="D393" i="28"/>
  <c r="E393" i="28" s="1"/>
  <c r="D394" i="28"/>
  <c r="E394" i="28" s="1"/>
  <c r="D395" i="28"/>
  <c r="E395" i="28" s="1"/>
  <c r="D396" i="28"/>
  <c r="E396" i="28" s="1"/>
  <c r="D397" i="28"/>
  <c r="E397" i="28" s="1"/>
  <c r="D398" i="28"/>
  <c r="E398" i="28" s="1"/>
  <c r="D399" i="28"/>
  <c r="E399" i="28" s="1"/>
  <c r="D400" i="28"/>
  <c r="E400" i="28" s="1"/>
  <c r="D401" i="28"/>
  <c r="E401" i="28" s="1"/>
  <c r="D402" i="28"/>
  <c r="E402" i="28" s="1"/>
  <c r="D403" i="28"/>
  <c r="E403" i="28" s="1"/>
  <c r="D346" i="28"/>
  <c r="E346" i="28" s="1"/>
  <c r="D347" i="28"/>
  <c r="E347" i="28" s="1"/>
  <c r="D348" i="28"/>
  <c r="E348" i="28" s="1"/>
  <c r="D349" i="28"/>
  <c r="E349" i="28" s="1"/>
  <c r="D350" i="28"/>
  <c r="E350" i="28" s="1"/>
  <c r="D351" i="28"/>
  <c r="E351" i="28" s="1"/>
  <c r="D345" i="28"/>
  <c r="E345" i="28" s="1"/>
  <c r="D336" i="28"/>
  <c r="E336" i="28" s="1"/>
  <c r="D337" i="28"/>
  <c r="E337" i="28" s="1"/>
  <c r="D338" i="28"/>
  <c r="E338" i="28" s="1"/>
  <c r="D339" i="28"/>
  <c r="E339" i="28" s="1"/>
  <c r="D340" i="28"/>
  <c r="E340" i="28" s="1"/>
  <c r="D341" i="28"/>
  <c r="E341" i="28" s="1"/>
  <c r="D342" i="28"/>
  <c r="E342" i="28" s="1"/>
  <c r="D343" i="28"/>
  <c r="E343" i="28" s="1"/>
  <c r="D334" i="28"/>
  <c r="E334" i="28" s="1"/>
  <c r="D335" i="28"/>
  <c r="E335" i="28" s="1"/>
  <c r="D333" i="28"/>
  <c r="E333" i="28" s="1"/>
  <c r="D274" i="28" l="1"/>
  <c r="E274" i="28" s="1"/>
  <c r="D275" i="28"/>
  <c r="E275" i="28" s="1"/>
  <c r="D276" i="28"/>
  <c r="E276" i="28" s="1"/>
  <c r="D277" i="28"/>
  <c r="E277" i="28" s="1"/>
  <c r="D278" i="28"/>
  <c r="E278" i="28" s="1"/>
  <c r="D279" i="28"/>
  <c r="E279" i="28" s="1"/>
  <c r="D280" i="28"/>
  <c r="E280" i="28" s="1"/>
  <c r="D281" i="28"/>
  <c r="E281" i="28" s="1"/>
  <c r="D282" i="28"/>
  <c r="E282" i="28" s="1"/>
  <c r="D283" i="28"/>
  <c r="E283" i="28" s="1"/>
  <c r="D284" i="28"/>
  <c r="E284" i="28" s="1"/>
  <c r="D285" i="28"/>
  <c r="E285" i="28" s="1"/>
  <c r="D286" i="28"/>
  <c r="E286" i="28" s="1"/>
  <c r="D287" i="28"/>
  <c r="E287" i="28" s="1"/>
  <c r="D288" i="28"/>
  <c r="E288" i="28" s="1"/>
  <c r="D289" i="28"/>
  <c r="E289" i="28" s="1"/>
  <c r="D290" i="28"/>
  <c r="E290" i="28" s="1"/>
  <c r="D291" i="28"/>
  <c r="E291" i="28" s="1"/>
  <c r="D292" i="28"/>
  <c r="E292" i="28" s="1"/>
  <c r="D293" i="28"/>
  <c r="E293" i="28" s="1"/>
  <c r="D294" i="28"/>
  <c r="E294" i="28" s="1"/>
  <c r="D295" i="28"/>
  <c r="E295" i="28" s="1"/>
  <c r="D296" i="28"/>
  <c r="E296" i="28" s="1"/>
  <c r="D297" i="28"/>
  <c r="E297" i="28" s="1"/>
  <c r="D298" i="28"/>
  <c r="E298" i="28" s="1"/>
  <c r="D299" i="28"/>
  <c r="E299" i="28" s="1"/>
  <c r="D300" i="28"/>
  <c r="E300" i="28" s="1"/>
  <c r="D301" i="28"/>
  <c r="E301" i="28" s="1"/>
  <c r="D302" i="28"/>
  <c r="E302" i="28" s="1"/>
  <c r="D303" i="28"/>
  <c r="E303" i="28" s="1"/>
  <c r="D304" i="28"/>
  <c r="E304" i="28" s="1"/>
  <c r="D305" i="28"/>
  <c r="E305" i="28" s="1"/>
  <c r="D306" i="28"/>
  <c r="E306" i="28" s="1"/>
  <c r="D307" i="28"/>
  <c r="E307" i="28" s="1"/>
  <c r="D308" i="28"/>
  <c r="E308" i="28" s="1"/>
  <c r="D309" i="28"/>
  <c r="E309" i="28" s="1"/>
  <c r="D310" i="28"/>
  <c r="E310" i="28" s="1"/>
  <c r="D311" i="28"/>
  <c r="E311" i="28" s="1"/>
  <c r="D312" i="28"/>
  <c r="E312" i="28" s="1"/>
  <c r="D313" i="28"/>
  <c r="E313" i="28" s="1"/>
  <c r="D314" i="28"/>
  <c r="E314" i="28" s="1"/>
  <c r="D315" i="28"/>
  <c r="E315" i="28" s="1"/>
  <c r="D316" i="28"/>
  <c r="E316" i="28" s="1"/>
  <c r="D317" i="28"/>
  <c r="E317" i="28" s="1"/>
  <c r="D318" i="28"/>
  <c r="E318" i="28" s="1"/>
  <c r="D319" i="28"/>
  <c r="E319" i="28" s="1"/>
  <c r="D320" i="28"/>
  <c r="E320" i="28" s="1"/>
  <c r="D321" i="28"/>
  <c r="E321" i="28" s="1"/>
  <c r="D322" i="28"/>
  <c r="E322" i="28" s="1"/>
  <c r="D323" i="28"/>
  <c r="E323" i="28" s="1"/>
  <c r="D324" i="28"/>
  <c r="E324" i="28" s="1"/>
  <c r="D325" i="28"/>
  <c r="E325" i="28" s="1"/>
  <c r="D326" i="28"/>
  <c r="E326" i="28" s="1"/>
  <c r="D327" i="28"/>
  <c r="E327" i="28" s="1"/>
  <c r="D328" i="28"/>
  <c r="E328" i="28" s="1"/>
  <c r="D329" i="28"/>
  <c r="E329" i="28" s="1"/>
  <c r="D330" i="28"/>
  <c r="E330" i="28" s="1"/>
  <c r="D331" i="28"/>
  <c r="E331" i="28" s="1"/>
  <c r="D272" i="28"/>
  <c r="E272" i="28" s="1"/>
  <c r="D273" i="28"/>
  <c r="E273" i="28" s="1"/>
  <c r="D269" i="28"/>
  <c r="E269" i="28" s="1"/>
  <c r="D270" i="28"/>
  <c r="E270" i="28" s="1"/>
  <c r="D271" i="28"/>
  <c r="E271" i="28" s="1"/>
  <c r="D268" i="28"/>
  <c r="E268" i="28" s="1"/>
  <c r="J11" i="28" l="1"/>
  <c r="K11" i="28" s="1"/>
  <c r="L11" i="28"/>
  <c r="J264" i="28" l="1"/>
  <c r="K264" i="28" s="1"/>
  <c r="L264" i="28"/>
  <c r="L260" i="28"/>
  <c r="J256" i="28"/>
  <c r="K256" i="28" s="1"/>
  <c r="L256" i="28"/>
  <c r="J252" i="28"/>
  <c r="K252" i="28" s="1"/>
  <c r="L252" i="28"/>
  <c r="L248" i="28"/>
  <c r="J243" i="28"/>
  <c r="K243" i="28" s="1"/>
  <c r="L243" i="28"/>
  <c r="L238" i="28"/>
  <c r="J234" i="28"/>
  <c r="K234" i="28" s="1"/>
  <c r="L234" i="28"/>
  <c r="L228" i="28"/>
  <c r="J224" i="28"/>
  <c r="K224" i="28" s="1"/>
  <c r="L224" i="28"/>
  <c r="J220" i="28"/>
  <c r="K220" i="28" s="1"/>
  <c r="L220" i="28"/>
  <c r="L215" i="28"/>
  <c r="J210" i="28"/>
  <c r="K210" i="28" s="1"/>
  <c r="L210" i="28"/>
  <c r="L206" i="28"/>
  <c r="J200" i="28"/>
  <c r="K200" i="28" s="1"/>
  <c r="L200" i="28"/>
  <c r="L196" i="28"/>
  <c r="J192" i="28"/>
  <c r="K192" i="28" s="1"/>
  <c r="L192" i="28"/>
  <c r="L263" i="28"/>
  <c r="J259" i="28"/>
  <c r="K259" i="28" s="1"/>
  <c r="L259" i="28"/>
  <c r="L255" i="28"/>
  <c r="L251" i="28"/>
  <c r="J247" i="28"/>
  <c r="K247" i="28" s="1"/>
  <c r="L247" i="28"/>
  <c r="L242" i="28"/>
  <c r="J237" i="28"/>
  <c r="K237" i="28" s="1"/>
  <c r="L237" i="28"/>
  <c r="L233" i="28"/>
  <c r="J227" i="28"/>
  <c r="K227" i="28" s="1"/>
  <c r="L227" i="28"/>
  <c r="L223" i="28"/>
  <c r="L219" i="28"/>
  <c r="J219" i="28"/>
  <c r="K219" i="28" s="1"/>
  <c r="L213" i="28"/>
  <c r="J213" i="28"/>
  <c r="K213" i="28" s="1"/>
  <c r="L209" i="28"/>
  <c r="J209" i="28"/>
  <c r="K209" i="28" s="1"/>
  <c r="L205" i="28"/>
  <c r="J205" i="28"/>
  <c r="K205" i="28" s="1"/>
  <c r="L199" i="28"/>
  <c r="J199" i="28"/>
  <c r="K199" i="28" s="1"/>
  <c r="L195" i="28"/>
  <c r="J195" i="28"/>
  <c r="K195" i="28" s="1"/>
  <c r="L190" i="28"/>
  <c r="J186" i="28"/>
  <c r="K186" i="28" s="1"/>
  <c r="L186" i="28"/>
  <c r="L182" i="28"/>
  <c r="J178" i="28"/>
  <c r="K178" i="28" s="1"/>
  <c r="L178" i="28"/>
  <c r="L174" i="28"/>
  <c r="J170" i="28"/>
  <c r="K170" i="28" s="1"/>
  <c r="L170" i="28"/>
  <c r="L166" i="28"/>
  <c r="J166" i="28"/>
  <c r="K166" i="28" s="1"/>
  <c r="L162" i="28"/>
  <c r="L158" i="28"/>
  <c r="J158" i="28"/>
  <c r="K158" i="28" s="1"/>
  <c r="L152" i="28"/>
  <c r="J152" i="28"/>
  <c r="K152" i="28" s="1"/>
  <c r="L148" i="28"/>
  <c r="L144" i="28"/>
  <c r="J144" i="28"/>
  <c r="K144" i="28" s="1"/>
  <c r="L140" i="28"/>
  <c r="L136" i="28"/>
  <c r="J136" i="28"/>
  <c r="K136" i="28" s="1"/>
  <c r="J132" i="28"/>
  <c r="K132" i="28" s="1"/>
  <c r="L132" i="28"/>
  <c r="L128" i="28"/>
  <c r="J124" i="28"/>
  <c r="K124" i="28" s="1"/>
  <c r="L124" i="28"/>
  <c r="L120" i="28"/>
  <c r="L116" i="28"/>
  <c r="J116" i="28"/>
  <c r="K116" i="28" s="1"/>
  <c r="L112" i="28"/>
  <c r="J112" i="28"/>
  <c r="K112" i="28" s="1"/>
  <c r="L108" i="28"/>
  <c r="J108" i="28"/>
  <c r="K108" i="28" s="1"/>
  <c r="L104" i="28"/>
  <c r="J104" i="28"/>
  <c r="K104" i="28" s="1"/>
  <c r="L100" i="28"/>
  <c r="J100" i="28"/>
  <c r="K100" i="28" s="1"/>
  <c r="L96" i="28"/>
  <c r="J96" i="28"/>
  <c r="K96" i="28" s="1"/>
  <c r="L91" i="28"/>
  <c r="L86" i="28"/>
  <c r="J86" i="28"/>
  <c r="K86" i="28" s="1"/>
  <c r="L82" i="28"/>
  <c r="J82" i="28"/>
  <c r="K82" i="28" s="1"/>
  <c r="L78" i="28"/>
  <c r="J78" i="28"/>
  <c r="K78" i="28" s="1"/>
  <c r="L73" i="28"/>
  <c r="L71" i="28"/>
  <c r="J66" i="28"/>
  <c r="K66" i="28" s="1"/>
  <c r="L66" i="28"/>
  <c r="L62" i="28"/>
  <c r="J57" i="28"/>
  <c r="K57" i="28" s="1"/>
  <c r="L57" i="28"/>
  <c r="L53" i="28"/>
  <c r="J47" i="28"/>
  <c r="K47" i="28" s="1"/>
  <c r="L47" i="28"/>
  <c r="L42" i="28"/>
  <c r="J38" i="28"/>
  <c r="K38" i="28" s="1"/>
  <c r="L38" i="28"/>
  <c r="L34" i="28"/>
  <c r="J30" i="28"/>
  <c r="K30" i="28" s="1"/>
  <c r="L30" i="28"/>
  <c r="L26" i="28"/>
  <c r="L21" i="28"/>
  <c r="L16" i="28"/>
  <c r="J12" i="28"/>
  <c r="K12" i="28" s="1"/>
  <c r="L12" i="28"/>
  <c r="L189" i="28"/>
  <c r="J189" i="28"/>
  <c r="K189" i="28" s="1"/>
  <c r="L185" i="28"/>
  <c r="J185" i="28"/>
  <c r="K185" i="28" s="1"/>
  <c r="L181" i="28"/>
  <c r="J181" i="28"/>
  <c r="K181" i="28" s="1"/>
  <c r="L177" i="28"/>
  <c r="J177" i="28"/>
  <c r="K177" i="28" s="1"/>
  <c r="L173" i="28"/>
  <c r="J173" i="28"/>
  <c r="K173" i="28" s="1"/>
  <c r="L169" i="28"/>
  <c r="J169" i="28"/>
  <c r="K169" i="28" s="1"/>
  <c r="L165" i="28"/>
  <c r="J165" i="28"/>
  <c r="K165" i="28" s="1"/>
  <c r="L161" i="28"/>
  <c r="J161" i="28"/>
  <c r="K161" i="28" s="1"/>
  <c r="L156" i="28"/>
  <c r="J156" i="28"/>
  <c r="K156" i="28" s="1"/>
  <c r="J151" i="28"/>
  <c r="K151" i="28" s="1"/>
  <c r="L151" i="28"/>
  <c r="L147" i="28"/>
  <c r="J143" i="28"/>
  <c r="K143" i="28" s="1"/>
  <c r="L143" i="28"/>
  <c r="L139" i="28"/>
  <c r="J135" i="28"/>
  <c r="K135" i="28" s="1"/>
  <c r="L135" i="28"/>
  <c r="L131" i="28"/>
  <c r="J127" i="28"/>
  <c r="K127" i="28" s="1"/>
  <c r="L127" i="28"/>
  <c r="L123" i="28"/>
  <c r="J119" i="28"/>
  <c r="K119" i="28" s="1"/>
  <c r="L119" i="28"/>
  <c r="J115" i="28"/>
  <c r="K115" i="28" s="1"/>
  <c r="L115" i="28"/>
  <c r="L111" i="28"/>
  <c r="J107" i="28"/>
  <c r="K107" i="28" s="1"/>
  <c r="L107" i="28"/>
  <c r="L103" i="28"/>
  <c r="J99" i="28"/>
  <c r="K99" i="28" s="1"/>
  <c r="L99" i="28"/>
  <c r="L95" i="28"/>
  <c r="L90" i="28"/>
  <c r="J90" i="28"/>
  <c r="K90" i="28" s="1"/>
  <c r="J85" i="28"/>
  <c r="K85" i="28" s="1"/>
  <c r="L85" i="28"/>
  <c r="L81" i="28"/>
  <c r="L75" i="28"/>
  <c r="J70" i="28"/>
  <c r="K70" i="28" s="1"/>
  <c r="L70" i="28"/>
  <c r="J61" i="28"/>
  <c r="K61" i="28" s="1"/>
  <c r="L61" i="28"/>
  <c r="L56" i="28"/>
  <c r="J52" i="28"/>
  <c r="K52" i="28" s="1"/>
  <c r="L52" i="28"/>
  <c r="L46" i="28"/>
  <c r="J41" i="28"/>
  <c r="K41" i="28" s="1"/>
  <c r="L41" i="28"/>
  <c r="J37" i="28"/>
  <c r="K37" i="28" s="1"/>
  <c r="L37" i="28"/>
  <c r="L33" i="28"/>
  <c r="J29" i="28"/>
  <c r="K29" i="28" s="1"/>
  <c r="L29" i="28"/>
  <c r="J24" i="28"/>
  <c r="K24" i="28" s="1"/>
  <c r="L24" i="28"/>
  <c r="L20" i="28"/>
  <c r="J15" i="28"/>
  <c r="K15" i="28" s="1"/>
  <c r="L15" i="28"/>
  <c r="L262" i="28"/>
  <c r="J258" i="28"/>
  <c r="K258" i="28" s="1"/>
  <c r="L258" i="28"/>
  <c r="J254" i="28"/>
  <c r="K254" i="28" s="1"/>
  <c r="L254" i="28"/>
  <c r="L250" i="28"/>
  <c r="J246" i="28"/>
  <c r="K246" i="28" s="1"/>
  <c r="L246" i="28"/>
  <c r="L240" i="28"/>
  <c r="J236" i="28"/>
  <c r="K236" i="28" s="1"/>
  <c r="L236" i="28"/>
  <c r="L232" i="28"/>
  <c r="J226" i="28"/>
  <c r="K226" i="28" s="1"/>
  <c r="L226" i="28"/>
  <c r="J222" i="28"/>
  <c r="K222" i="28" s="1"/>
  <c r="L222" i="28"/>
  <c r="L218" i="28"/>
  <c r="J212" i="28"/>
  <c r="K212" i="28" s="1"/>
  <c r="L212" i="28"/>
  <c r="L208" i="28"/>
  <c r="J204" i="28"/>
  <c r="K204" i="28" s="1"/>
  <c r="L204" i="28"/>
  <c r="L198" i="28"/>
  <c r="J194" i="28"/>
  <c r="K194" i="28" s="1"/>
  <c r="L194" i="28"/>
  <c r="L266" i="28"/>
  <c r="J266" i="28"/>
  <c r="K266" i="28" s="1"/>
  <c r="J261" i="28"/>
  <c r="K261" i="28" s="1"/>
  <c r="L261" i="28"/>
  <c r="L257" i="28"/>
  <c r="L253" i="28"/>
  <c r="J249" i="28"/>
  <c r="K249" i="28" s="1"/>
  <c r="L249" i="28"/>
  <c r="L245" i="28"/>
  <c r="J239" i="28"/>
  <c r="K239" i="28" s="1"/>
  <c r="L239" i="28"/>
  <c r="L235" i="28"/>
  <c r="J230" i="28"/>
  <c r="K230" i="28" s="1"/>
  <c r="L230" i="28"/>
  <c r="L225" i="28"/>
  <c r="L221" i="28"/>
  <c r="J221" i="28"/>
  <c r="K221" i="28" s="1"/>
  <c r="L217" i="28"/>
  <c r="J217" i="28"/>
  <c r="K217" i="28" s="1"/>
  <c r="L211" i="28"/>
  <c r="J211" i="28"/>
  <c r="K211" i="28" s="1"/>
  <c r="L207" i="28"/>
  <c r="J207" i="28"/>
  <c r="K207" i="28" s="1"/>
  <c r="L203" i="28"/>
  <c r="J203" i="28"/>
  <c r="K203" i="28" s="1"/>
  <c r="L197" i="28"/>
  <c r="J197" i="28"/>
  <c r="K197" i="28" s="1"/>
  <c r="L193" i="28"/>
  <c r="J193" i="28"/>
  <c r="K193" i="28" s="1"/>
  <c r="J188" i="28"/>
  <c r="K188" i="28" s="1"/>
  <c r="L188" i="28"/>
  <c r="L184" i="28"/>
  <c r="J180" i="28"/>
  <c r="K180" i="28" s="1"/>
  <c r="L180" i="28"/>
  <c r="L176" i="28"/>
  <c r="J172" i="28"/>
  <c r="K172" i="28" s="1"/>
  <c r="L172" i="28"/>
  <c r="L168" i="28"/>
  <c r="L164" i="28"/>
  <c r="J164" i="28"/>
  <c r="K164" i="28" s="1"/>
  <c r="L160" i="28"/>
  <c r="L155" i="28"/>
  <c r="L150" i="28"/>
  <c r="J150" i="28"/>
  <c r="K150" i="28" s="1"/>
  <c r="L146" i="28"/>
  <c r="L142" i="28"/>
  <c r="J142" i="28"/>
  <c r="K142" i="28" s="1"/>
  <c r="L138" i="28"/>
  <c r="J134" i="28"/>
  <c r="K134" i="28" s="1"/>
  <c r="L134" i="28"/>
  <c r="L130" i="28"/>
  <c r="J126" i="28"/>
  <c r="K126" i="28" s="1"/>
  <c r="L126" i="28"/>
  <c r="L122" i="28"/>
  <c r="J118" i="28"/>
  <c r="K118" i="28" s="1"/>
  <c r="L118" i="28"/>
  <c r="L114" i="28"/>
  <c r="J114" i="28"/>
  <c r="K114" i="28" s="1"/>
  <c r="L110" i="28"/>
  <c r="J110" i="28"/>
  <c r="K110" i="28" s="1"/>
  <c r="L106" i="28"/>
  <c r="J106" i="28"/>
  <c r="K106" i="28" s="1"/>
  <c r="L102" i="28"/>
  <c r="J102" i="28"/>
  <c r="K102" i="28" s="1"/>
  <c r="L98" i="28"/>
  <c r="J98" i="28"/>
  <c r="K98" i="28" s="1"/>
  <c r="L94" i="28"/>
  <c r="J94" i="28"/>
  <c r="K94" i="28" s="1"/>
  <c r="L89" i="28"/>
  <c r="J84" i="28"/>
  <c r="K84" i="28" s="1"/>
  <c r="L84" i="28"/>
  <c r="L80" i="28"/>
  <c r="J69" i="28"/>
  <c r="K69" i="28" s="1"/>
  <c r="L69" i="28"/>
  <c r="L64" i="28"/>
  <c r="J59" i="28"/>
  <c r="K59" i="28" s="1"/>
  <c r="L59" i="28"/>
  <c r="L55" i="28"/>
  <c r="J51" i="28"/>
  <c r="K51" i="28" s="1"/>
  <c r="L51" i="28"/>
  <c r="L45" i="28"/>
  <c r="L40" i="28"/>
  <c r="J40" i="28"/>
  <c r="K40" i="28" s="1"/>
  <c r="L36" i="28"/>
  <c r="J36" i="28"/>
  <c r="K36" i="28" s="1"/>
  <c r="L32" i="28"/>
  <c r="J32" i="28"/>
  <c r="K32" i="28" s="1"/>
  <c r="L28" i="28"/>
  <c r="J28" i="28"/>
  <c r="K28" i="28" s="1"/>
  <c r="L23" i="28"/>
  <c r="J19" i="28"/>
  <c r="K19" i="28" s="1"/>
  <c r="L19" i="28"/>
  <c r="J14" i="28"/>
  <c r="K14" i="28" s="1"/>
  <c r="L14" i="28"/>
  <c r="L191" i="28"/>
  <c r="J191" i="28"/>
  <c r="K191" i="28" s="1"/>
  <c r="L187" i="28"/>
  <c r="J187" i="28"/>
  <c r="K187" i="28" s="1"/>
  <c r="L183" i="28"/>
  <c r="J183" i="28"/>
  <c r="K183" i="28" s="1"/>
  <c r="L179" i="28"/>
  <c r="J179" i="28"/>
  <c r="K179" i="28" s="1"/>
  <c r="L175" i="28"/>
  <c r="J175" i="28"/>
  <c r="K175" i="28" s="1"/>
  <c r="L171" i="28"/>
  <c r="J171" i="28"/>
  <c r="K171" i="28" s="1"/>
  <c r="L167" i="28"/>
  <c r="J167" i="28"/>
  <c r="K167" i="28" s="1"/>
  <c r="J163" i="28"/>
  <c r="K163" i="28" s="1"/>
  <c r="L163" i="28"/>
  <c r="L159" i="28"/>
  <c r="L154" i="28"/>
  <c r="J154" i="28"/>
  <c r="K154" i="28" s="1"/>
  <c r="L149" i="28"/>
  <c r="J149" i="28"/>
  <c r="K149" i="28" s="1"/>
  <c r="L145" i="28"/>
  <c r="J145" i="28"/>
  <c r="K145" i="28" s="1"/>
  <c r="L141" i="28"/>
  <c r="J141" i="28"/>
  <c r="K141" i="28" s="1"/>
  <c r="L137" i="28"/>
  <c r="J137" i="28"/>
  <c r="K137" i="28" s="1"/>
  <c r="L133" i="28"/>
  <c r="J129" i="28"/>
  <c r="K129" i="28" s="1"/>
  <c r="L129" i="28"/>
  <c r="L125" i="28"/>
  <c r="J121" i="28"/>
  <c r="K121" i="28" s="1"/>
  <c r="L121" i="28"/>
  <c r="J117" i="28"/>
  <c r="K117" i="28" s="1"/>
  <c r="L117" i="28"/>
  <c r="L113" i="28"/>
  <c r="J109" i="28"/>
  <c r="K109" i="28" s="1"/>
  <c r="L109" i="28"/>
  <c r="L105" i="28"/>
  <c r="J101" i="28"/>
  <c r="K101" i="28" s="1"/>
  <c r="L101" i="28"/>
  <c r="L97" i="28"/>
  <c r="L92" i="28"/>
  <c r="J88" i="28"/>
  <c r="K88" i="28" s="1"/>
  <c r="L88" i="28"/>
  <c r="L83" i="28"/>
  <c r="J83" i="28"/>
  <c r="K83" i="28" s="1"/>
  <c r="L79" i="28"/>
  <c r="J79" i="28"/>
  <c r="K79" i="28" s="1"/>
  <c r="J74" i="28"/>
  <c r="K74" i="28" s="1"/>
  <c r="L74" i="28"/>
  <c r="J72" i="28"/>
  <c r="K72" i="28" s="1"/>
  <c r="L72" i="28"/>
  <c r="L68" i="28"/>
  <c r="J63" i="28"/>
  <c r="K63" i="28" s="1"/>
  <c r="L63" i="28"/>
  <c r="L58" i="28"/>
  <c r="J54" i="28"/>
  <c r="K54" i="28" s="1"/>
  <c r="L54" i="28"/>
  <c r="L49" i="28"/>
  <c r="J44" i="28"/>
  <c r="K44" i="28" s="1"/>
  <c r="L44" i="28"/>
  <c r="J39" i="28"/>
  <c r="K39" i="28" s="1"/>
  <c r="L39" i="28"/>
  <c r="L35" i="28"/>
  <c r="J31" i="28"/>
  <c r="K31" i="28" s="1"/>
  <c r="L31" i="28"/>
  <c r="L27" i="28"/>
  <c r="L22" i="28"/>
  <c r="J22" i="28"/>
  <c r="K22" i="28" s="1"/>
  <c r="J17" i="28"/>
  <c r="K17" i="28" s="1"/>
  <c r="L17" i="28"/>
  <c r="L13" i="28"/>
  <c r="F2" i="28"/>
  <c r="F2" i="27"/>
  <c r="F2" i="7"/>
  <c r="A7" i="27"/>
  <c r="J13" i="28" l="1"/>
  <c r="K13" i="28" s="1"/>
  <c r="J27" i="28"/>
  <c r="K27" i="28" s="1"/>
  <c r="J35" i="28"/>
  <c r="K35" i="28" s="1"/>
  <c r="J49" i="28"/>
  <c r="K49" i="28" s="1"/>
  <c r="J58" i="28"/>
  <c r="K58" i="28" s="1"/>
  <c r="J68" i="28"/>
  <c r="K68" i="28" s="1"/>
  <c r="J92" i="28"/>
  <c r="K92" i="28" s="1"/>
  <c r="J97" i="28"/>
  <c r="K97" i="28" s="1"/>
  <c r="J105" i="28"/>
  <c r="K105" i="28" s="1"/>
  <c r="J113" i="28"/>
  <c r="K113" i="28" s="1"/>
  <c r="J125" i="28"/>
  <c r="K125" i="28" s="1"/>
  <c r="J133" i="28"/>
  <c r="K133" i="28" s="1"/>
  <c r="J159" i="28"/>
  <c r="K159" i="28" s="1"/>
  <c r="J23" i="28"/>
  <c r="K23" i="28" s="1"/>
  <c r="J45" i="28"/>
  <c r="K45" i="28" s="1"/>
  <c r="J55" i="28"/>
  <c r="K55" i="28" s="1"/>
  <c r="J64" i="28"/>
  <c r="K64" i="28" s="1"/>
  <c r="J80" i="28"/>
  <c r="K80" i="28" s="1"/>
  <c r="J122" i="28"/>
  <c r="K122" i="28" s="1"/>
  <c r="J130" i="28"/>
  <c r="K130" i="28" s="1"/>
  <c r="J138" i="28"/>
  <c r="K138" i="28" s="1"/>
  <c r="J146" i="28"/>
  <c r="K146" i="28" s="1"/>
  <c r="J155" i="28"/>
  <c r="K155" i="28" s="1"/>
  <c r="J160" i="28"/>
  <c r="K160" i="28" s="1"/>
  <c r="J168" i="28"/>
  <c r="K168" i="28" s="1"/>
  <c r="J176" i="28"/>
  <c r="K176" i="28" s="1"/>
  <c r="J184" i="28"/>
  <c r="K184" i="28" s="1"/>
  <c r="J225" i="28"/>
  <c r="K225" i="28" s="1"/>
  <c r="J235" i="28"/>
  <c r="K235" i="28" s="1"/>
  <c r="J245" i="28"/>
  <c r="K245" i="28" s="1"/>
  <c r="J253" i="28"/>
  <c r="K253" i="28" s="1"/>
  <c r="J257" i="28"/>
  <c r="K257" i="28" s="1"/>
  <c r="J198" i="28"/>
  <c r="K198" i="28" s="1"/>
  <c r="J208" i="28"/>
  <c r="K208" i="28" s="1"/>
  <c r="J218" i="28"/>
  <c r="K218" i="28" s="1"/>
  <c r="J232" i="28"/>
  <c r="K232" i="28" s="1"/>
  <c r="J240" i="28"/>
  <c r="K240" i="28" s="1"/>
  <c r="J250" i="28"/>
  <c r="K250" i="28" s="1"/>
  <c r="J262" i="28"/>
  <c r="K262" i="28" s="1"/>
  <c r="J20" i="28"/>
  <c r="K20" i="28" s="1"/>
  <c r="J33" i="28"/>
  <c r="K33" i="28" s="1"/>
  <c r="J46" i="28"/>
  <c r="K46" i="28" s="1"/>
  <c r="J56" i="28"/>
  <c r="K56" i="28" s="1"/>
  <c r="J75" i="28"/>
  <c r="K75" i="28" s="1"/>
  <c r="J81" i="28"/>
  <c r="K81" i="28" s="1"/>
  <c r="J95" i="28"/>
  <c r="K95" i="28" s="1"/>
  <c r="J103" i="28"/>
  <c r="K103" i="28" s="1"/>
  <c r="J111" i="28"/>
  <c r="K111" i="28" s="1"/>
  <c r="J123" i="28"/>
  <c r="K123" i="28" s="1"/>
  <c r="J131" i="28"/>
  <c r="K131" i="28" s="1"/>
  <c r="J139" i="28"/>
  <c r="K139" i="28" s="1"/>
  <c r="J147" i="28"/>
  <c r="K147" i="28" s="1"/>
  <c r="J16" i="28"/>
  <c r="K16" i="28" s="1"/>
  <c r="J21" i="28"/>
  <c r="K21" i="28" s="1"/>
  <c r="J26" i="28"/>
  <c r="K26" i="28" s="1"/>
  <c r="J34" i="28"/>
  <c r="K34" i="28" s="1"/>
  <c r="J42" i="28"/>
  <c r="K42" i="28" s="1"/>
  <c r="J53" i="28"/>
  <c r="K53" i="28" s="1"/>
  <c r="J62" i="28"/>
  <c r="K62" i="28" s="1"/>
  <c r="J71" i="28"/>
  <c r="K71" i="28" s="1"/>
  <c r="J73" i="28"/>
  <c r="K73" i="28" s="1"/>
  <c r="J91" i="28"/>
  <c r="K91" i="28" s="1"/>
  <c r="J120" i="28"/>
  <c r="K120" i="28" s="1"/>
  <c r="J128" i="28"/>
  <c r="K128" i="28" s="1"/>
  <c r="J140" i="28"/>
  <c r="K140" i="28" s="1"/>
  <c r="J148" i="28"/>
  <c r="K148" i="28" s="1"/>
  <c r="J162" i="28"/>
  <c r="K162" i="28" s="1"/>
  <c r="J174" i="28"/>
  <c r="K174" i="28" s="1"/>
  <c r="J182" i="28"/>
  <c r="K182" i="28" s="1"/>
  <c r="J190" i="28"/>
  <c r="K190" i="28" s="1"/>
  <c r="J223" i="28"/>
  <c r="K223" i="28" s="1"/>
  <c r="J233" i="28"/>
  <c r="K233" i="28" s="1"/>
  <c r="J242" i="28"/>
  <c r="K242" i="28" s="1"/>
  <c r="J251" i="28"/>
  <c r="K251" i="28" s="1"/>
  <c r="J255" i="28"/>
  <c r="K255" i="28" s="1"/>
  <c r="J263" i="28"/>
  <c r="K263" i="28" s="1"/>
  <c r="J196" i="28"/>
  <c r="K196" i="28" s="1"/>
  <c r="J206" i="28"/>
  <c r="K206" i="28" s="1"/>
  <c r="J215" i="28"/>
  <c r="K215" i="28" s="1"/>
  <c r="J228" i="28"/>
  <c r="K228" i="28" s="1"/>
  <c r="J238" i="28"/>
  <c r="K238" i="28" s="1"/>
  <c r="J248" i="28"/>
  <c r="K248" i="28" s="1"/>
  <c r="J260" i="28"/>
  <c r="K260" i="28" s="1"/>
  <c r="J89" i="28"/>
  <c r="K89" i="28" s="1"/>
  <c r="E840" i="10" l="1"/>
  <c r="D840" i="10" s="1"/>
  <c r="E839" i="10"/>
  <c r="D839" i="10"/>
  <c r="E837" i="10"/>
  <c r="D837" i="10" s="1"/>
  <c r="E836" i="10"/>
  <c r="D836" i="10"/>
  <c r="E835" i="10"/>
  <c r="D835" i="10" s="1"/>
  <c r="E833" i="10"/>
  <c r="D833" i="10" s="1"/>
  <c r="E832" i="10"/>
  <c r="D832" i="10" s="1"/>
  <c r="E829" i="10"/>
  <c r="D829" i="10" s="1"/>
  <c r="E828" i="10"/>
  <c r="D828" i="10" s="1"/>
  <c r="E827" i="10"/>
  <c r="D827" i="10" s="1"/>
  <c r="E826" i="10"/>
  <c r="D826" i="10" s="1"/>
  <c r="E825" i="10"/>
  <c r="D825" i="10" s="1"/>
  <c r="E824" i="10"/>
  <c r="D824" i="10" s="1"/>
  <c r="E823" i="10"/>
  <c r="D823" i="10" s="1"/>
  <c r="E821" i="10"/>
  <c r="D821" i="10" s="1"/>
  <c r="E820" i="10"/>
  <c r="D820" i="10" s="1"/>
  <c r="E819" i="10"/>
  <c r="D819" i="10" s="1"/>
  <c r="E817" i="10"/>
  <c r="D817" i="10" s="1"/>
  <c r="E816" i="10"/>
  <c r="D816" i="10" s="1"/>
  <c r="E815" i="10"/>
  <c r="D815" i="10" s="1"/>
  <c r="E814" i="10"/>
  <c r="D814" i="10" s="1"/>
  <c r="E813" i="10"/>
  <c r="D813" i="10" s="1"/>
  <c r="E812" i="10"/>
  <c r="D812" i="10" s="1"/>
  <c r="E811" i="10"/>
  <c r="D811" i="10" s="1"/>
  <c r="E810" i="10"/>
  <c r="D810" i="10" s="1"/>
  <c r="E809" i="10"/>
  <c r="D809" i="10" s="1"/>
  <c r="E808" i="10"/>
  <c r="D808" i="10" s="1"/>
  <c r="E807" i="10"/>
  <c r="D807" i="10" s="1"/>
  <c r="E805" i="10"/>
  <c r="D805" i="10" s="1"/>
  <c r="E804" i="10"/>
  <c r="D804" i="10" s="1"/>
  <c r="E803" i="10"/>
  <c r="D803" i="10" s="1"/>
  <c r="E802" i="10"/>
  <c r="D802" i="10" s="1"/>
  <c r="E801" i="10"/>
  <c r="D801" i="10" s="1"/>
  <c r="E800" i="10"/>
  <c r="D800" i="10" s="1"/>
  <c r="E799" i="10"/>
  <c r="D799" i="10" s="1"/>
  <c r="E798" i="10"/>
  <c r="D798" i="10" s="1"/>
  <c r="E797" i="10"/>
  <c r="D797" i="10" s="1"/>
  <c r="E796" i="10"/>
  <c r="D796" i="10" s="1"/>
  <c r="E795" i="10"/>
  <c r="D795" i="10" s="1"/>
  <c r="E794" i="10"/>
  <c r="D794" i="10" s="1"/>
  <c r="E793" i="10"/>
  <c r="D793" i="10" s="1"/>
  <c r="E792" i="10"/>
  <c r="D792" i="10" s="1"/>
  <c r="E791" i="10"/>
  <c r="D791" i="10" s="1"/>
  <c r="E789" i="10"/>
  <c r="D789" i="10" s="1"/>
  <c r="E787" i="10"/>
  <c r="D787" i="10" s="1"/>
  <c r="E786" i="10"/>
  <c r="D786" i="10" s="1"/>
  <c r="E785" i="10"/>
  <c r="D785" i="10" s="1"/>
  <c r="E784" i="10"/>
  <c r="D784" i="10" s="1"/>
  <c r="E783" i="10"/>
  <c r="D783" i="10" s="1"/>
  <c r="E782" i="10"/>
  <c r="D782" i="10" s="1"/>
  <c r="E781" i="10"/>
  <c r="D781" i="10" s="1"/>
  <c r="E780" i="10"/>
  <c r="D780" i="10" s="1"/>
  <c r="E779" i="10"/>
  <c r="D779" i="10" s="1"/>
  <c r="E778" i="10"/>
  <c r="D778" i="10" s="1"/>
  <c r="E777" i="10"/>
  <c r="D777" i="10" s="1"/>
  <c r="E776" i="10"/>
  <c r="D776" i="10" s="1"/>
  <c r="E775" i="10"/>
  <c r="D775" i="10" s="1"/>
  <c r="E774" i="10"/>
  <c r="D774" i="10" s="1"/>
  <c r="E773" i="10"/>
  <c r="D773" i="10" s="1"/>
  <c r="E772" i="10"/>
  <c r="D772" i="10" s="1"/>
  <c r="E771" i="10"/>
  <c r="D771" i="10" s="1"/>
  <c r="E770" i="10"/>
  <c r="D770" i="10" s="1"/>
  <c r="E769" i="10"/>
  <c r="D769" i="10" s="1"/>
  <c r="E768" i="10"/>
  <c r="D768" i="10" s="1"/>
  <c r="E767" i="10"/>
  <c r="D767" i="10" s="1"/>
  <c r="E766" i="10"/>
  <c r="D766" i="10" s="1"/>
  <c r="E765" i="10"/>
  <c r="D765" i="10" s="1"/>
  <c r="E764" i="10"/>
  <c r="D764" i="10" s="1"/>
  <c r="E763" i="10"/>
  <c r="D763" i="10" s="1"/>
  <c r="E762" i="10"/>
  <c r="D762" i="10" s="1"/>
  <c r="E761" i="10"/>
  <c r="D761" i="10" s="1"/>
  <c r="E760" i="10"/>
  <c r="D760" i="10" s="1"/>
  <c r="E759" i="10"/>
  <c r="D759" i="10" s="1"/>
  <c r="E758" i="10"/>
  <c r="D758" i="10" s="1"/>
  <c r="E757" i="10"/>
  <c r="D757" i="10" s="1"/>
  <c r="E756" i="10"/>
  <c r="D756" i="10" s="1"/>
  <c r="E755" i="10"/>
  <c r="D755" i="10" s="1"/>
  <c r="E754" i="10"/>
  <c r="D754" i="10" s="1"/>
  <c r="E753" i="10"/>
  <c r="D753" i="10" s="1"/>
  <c r="E752" i="10"/>
  <c r="D752" i="10" s="1"/>
  <c r="E751" i="10"/>
  <c r="D751" i="10" s="1"/>
  <c r="E750" i="10"/>
  <c r="D750" i="10" s="1"/>
  <c r="E749" i="10"/>
  <c r="D749" i="10" s="1"/>
  <c r="E748" i="10"/>
  <c r="D748" i="10" s="1"/>
  <c r="E747" i="10"/>
  <c r="D747" i="10" s="1"/>
  <c r="E746" i="10"/>
  <c r="D746" i="10" s="1"/>
  <c r="E745" i="10"/>
  <c r="D745" i="10" s="1"/>
  <c r="E744" i="10"/>
  <c r="D744" i="10" s="1"/>
  <c r="E743" i="10"/>
  <c r="D743" i="10" s="1"/>
  <c r="E741" i="10"/>
  <c r="D741" i="10" s="1"/>
  <c r="E740" i="10"/>
  <c r="D740" i="10"/>
  <c r="E739" i="10"/>
  <c r="D739" i="10" s="1"/>
  <c r="E738" i="10"/>
  <c r="D738" i="10" s="1"/>
  <c r="E737" i="10"/>
  <c r="D737" i="10" s="1"/>
  <c r="E736" i="10"/>
  <c r="D736" i="10" s="1"/>
  <c r="E735" i="10"/>
  <c r="D735" i="10" s="1"/>
  <c r="E733" i="10"/>
  <c r="D733" i="10" s="1"/>
  <c r="E732" i="10"/>
  <c r="D732" i="10" s="1"/>
  <c r="E731" i="10"/>
  <c r="D731" i="10" s="1"/>
  <c r="E730" i="10"/>
  <c r="D730" i="10" s="1"/>
  <c r="E729" i="10"/>
  <c r="D729" i="10" s="1"/>
  <c r="E728" i="10"/>
  <c r="D728" i="10" s="1"/>
  <c r="E727" i="10"/>
  <c r="D727" i="10" s="1"/>
  <c r="E726" i="10"/>
  <c r="D726" i="10" s="1"/>
  <c r="E725" i="10"/>
  <c r="D725" i="10" s="1"/>
  <c r="E724" i="10"/>
  <c r="D724" i="10" s="1"/>
  <c r="E723" i="10"/>
  <c r="D723" i="10" s="1"/>
  <c r="E721" i="10"/>
  <c r="D721" i="10" s="1"/>
  <c r="E720" i="10"/>
  <c r="D720" i="10" s="1"/>
  <c r="E719" i="10"/>
  <c r="D719" i="10" s="1"/>
  <c r="E718" i="10"/>
  <c r="D718" i="10" s="1"/>
  <c r="E717" i="10"/>
  <c r="D717" i="10" s="1"/>
  <c r="E715" i="10"/>
  <c r="D715" i="10" s="1"/>
  <c r="E714" i="10"/>
  <c r="D714" i="10" s="1"/>
  <c r="E713" i="10"/>
  <c r="D713" i="10" s="1"/>
  <c r="E712" i="10"/>
  <c r="D712" i="10" s="1"/>
  <c r="E711" i="10"/>
  <c r="D711" i="10" s="1"/>
  <c r="E710" i="10"/>
  <c r="D710" i="10" s="1"/>
  <c r="E709" i="10"/>
  <c r="D709" i="10" s="1"/>
  <c r="E708" i="10"/>
  <c r="D708" i="10" s="1"/>
  <c r="E707" i="10"/>
  <c r="D707" i="10" s="1"/>
  <c r="E706" i="10"/>
  <c r="D706" i="10" s="1"/>
  <c r="E705" i="10"/>
  <c r="D705" i="10" s="1"/>
  <c r="E704" i="10"/>
  <c r="D704" i="10" s="1"/>
  <c r="E702" i="10"/>
  <c r="D702" i="10" s="1"/>
  <c r="E701" i="10"/>
  <c r="D701" i="10" s="1"/>
  <c r="E700" i="10"/>
  <c r="D700" i="10" s="1"/>
  <c r="E699" i="10"/>
  <c r="D699" i="10" s="1"/>
  <c r="E698" i="10"/>
  <c r="D698" i="10" s="1"/>
  <c r="E697" i="10"/>
  <c r="D697" i="10" s="1"/>
  <c r="E696" i="10"/>
  <c r="D696" i="10" s="1"/>
  <c r="E695" i="10"/>
  <c r="D695" i="10" s="1"/>
  <c r="E694" i="10"/>
  <c r="D694" i="10" s="1"/>
  <c r="E693" i="10"/>
  <c r="D693" i="10" s="1"/>
  <c r="E692" i="10"/>
  <c r="D692" i="10" s="1"/>
  <c r="E691" i="10"/>
  <c r="D691" i="10" s="1"/>
  <c r="E690" i="10"/>
  <c r="D690" i="10" s="1"/>
  <c r="E689" i="10"/>
  <c r="D689" i="10" s="1"/>
  <c r="E688" i="10"/>
  <c r="D688" i="10" s="1"/>
  <c r="E687" i="10"/>
  <c r="D687" i="10" s="1"/>
  <c r="E686" i="10"/>
  <c r="D686" i="10" s="1"/>
  <c r="E685" i="10"/>
  <c r="D685" i="10" s="1"/>
  <c r="E684" i="10"/>
  <c r="D684" i="10" s="1"/>
  <c r="E683" i="10"/>
  <c r="D683" i="10" s="1"/>
  <c r="E682" i="10"/>
  <c r="D682" i="10" s="1"/>
  <c r="E681" i="10"/>
  <c r="D681" i="10" s="1"/>
  <c r="E680" i="10"/>
  <c r="D680" i="10" s="1"/>
  <c r="E679" i="10"/>
  <c r="D679" i="10" s="1"/>
  <c r="E678" i="10"/>
  <c r="D678" i="10" s="1"/>
  <c r="E677" i="10"/>
  <c r="D677" i="10" s="1"/>
  <c r="E676" i="10"/>
  <c r="D676" i="10" s="1"/>
  <c r="E674" i="10"/>
  <c r="D674" i="10" s="1"/>
  <c r="E673" i="10"/>
  <c r="D673" i="10" s="1"/>
  <c r="E672" i="10"/>
  <c r="D672" i="10" s="1"/>
  <c r="E671" i="10"/>
  <c r="D671" i="10" s="1"/>
  <c r="E670" i="10"/>
  <c r="D670" i="10" s="1"/>
  <c r="E669" i="10"/>
  <c r="D669" i="10" s="1"/>
  <c r="E668" i="10"/>
  <c r="D668" i="10" s="1"/>
  <c r="E667" i="10"/>
  <c r="D667" i="10" s="1"/>
  <c r="E666" i="10"/>
  <c r="D666" i="10" s="1"/>
  <c r="E665" i="10"/>
  <c r="D665" i="10" s="1"/>
  <c r="E664" i="10"/>
  <c r="D664" i="10" s="1"/>
  <c r="E663" i="10"/>
  <c r="D663" i="10" s="1"/>
  <c r="E662" i="10"/>
  <c r="D662" i="10" s="1"/>
  <c r="E661" i="10"/>
  <c r="D661" i="10" s="1"/>
  <c r="E660" i="10"/>
  <c r="D660" i="10" s="1"/>
  <c r="E659" i="10"/>
  <c r="D659" i="10" s="1"/>
  <c r="E658" i="10"/>
  <c r="D658" i="10" s="1"/>
  <c r="E657" i="10"/>
  <c r="D657" i="10" s="1"/>
  <c r="E656" i="10"/>
  <c r="D656" i="10" s="1"/>
  <c r="E655" i="10"/>
  <c r="D655" i="10" s="1"/>
  <c r="E654" i="10"/>
  <c r="D654" i="10" s="1"/>
  <c r="E653" i="10"/>
  <c r="D653" i="10" s="1"/>
  <c r="E652" i="10"/>
  <c r="D652" i="10" s="1"/>
  <c r="E651" i="10"/>
  <c r="D651" i="10" s="1"/>
  <c r="E650" i="10"/>
  <c r="D650" i="10" s="1"/>
  <c r="E649" i="10"/>
  <c r="D649" i="10"/>
  <c r="E647" i="10"/>
  <c r="D647" i="10" s="1"/>
  <c r="E646" i="10"/>
  <c r="D646" i="10" s="1"/>
  <c r="E644" i="10"/>
  <c r="D644" i="10" s="1"/>
  <c r="E642" i="10"/>
  <c r="D642" i="10" s="1"/>
  <c r="E641" i="10"/>
  <c r="D641" i="10" s="1"/>
  <c r="E639" i="10"/>
  <c r="D639" i="10" s="1"/>
  <c r="E638" i="10"/>
  <c r="D638" i="10" s="1"/>
  <c r="E636" i="10"/>
  <c r="D636" i="10" s="1"/>
  <c r="E635" i="10"/>
  <c r="D635" i="10" s="1"/>
  <c r="E634" i="10"/>
  <c r="D634" i="10" s="1"/>
  <c r="E633" i="10"/>
  <c r="D633" i="10" s="1"/>
  <c r="E632" i="10"/>
  <c r="D632" i="10" s="1"/>
  <c r="E631" i="10"/>
  <c r="D631" i="10" s="1"/>
  <c r="E630" i="10"/>
  <c r="D630" i="10" s="1"/>
  <c r="E629" i="10"/>
  <c r="D629" i="10" s="1"/>
  <c r="E628" i="10"/>
  <c r="D628" i="10" s="1"/>
  <c r="E627" i="10"/>
  <c r="D627" i="10" s="1"/>
  <c r="E626" i="10"/>
  <c r="D626" i="10" s="1"/>
  <c r="E625" i="10"/>
  <c r="D625" i="10" s="1"/>
  <c r="E624" i="10"/>
  <c r="D624" i="10" s="1"/>
  <c r="E623" i="10"/>
  <c r="D623" i="10" s="1"/>
  <c r="E622" i="10"/>
  <c r="D622" i="10" s="1"/>
  <c r="E621" i="10"/>
  <c r="D621" i="10" s="1"/>
  <c r="E620" i="10"/>
  <c r="D620" i="10" s="1"/>
  <c r="E619" i="10"/>
  <c r="D619" i="10" s="1"/>
  <c r="E618" i="10"/>
  <c r="D618" i="10" s="1"/>
  <c r="E617" i="10"/>
  <c r="D617" i="10" s="1"/>
  <c r="E616" i="10"/>
  <c r="D616" i="10" s="1"/>
  <c r="E615" i="10"/>
  <c r="D615" i="10" s="1"/>
  <c r="E614" i="10"/>
  <c r="D614" i="10" s="1"/>
  <c r="E613" i="10"/>
  <c r="D613" i="10" s="1"/>
  <c r="E612" i="10"/>
  <c r="D612" i="10" s="1"/>
  <c r="E611" i="10"/>
  <c r="D611" i="10" s="1"/>
  <c r="E610" i="10"/>
  <c r="D610" i="10" s="1"/>
  <c r="E609" i="10"/>
  <c r="D609" i="10" s="1"/>
  <c r="E607" i="10"/>
  <c r="D607" i="10" s="1"/>
  <c r="E604" i="10"/>
  <c r="F604" i="10" s="1"/>
  <c r="E603" i="10"/>
  <c r="D603" i="10" s="1"/>
  <c r="E602" i="10"/>
  <c r="D602" i="10" s="1"/>
  <c r="E601" i="10"/>
  <c r="F601" i="10" s="1"/>
  <c r="E600" i="10"/>
  <c r="F600" i="10" s="1"/>
  <c r="E599" i="10"/>
  <c r="F599" i="10" s="1"/>
  <c r="E598" i="10"/>
  <c r="F598" i="10" s="1"/>
  <c r="E597" i="10"/>
  <c r="F597" i="10" s="1"/>
  <c r="E596" i="10"/>
  <c r="F596" i="10" s="1"/>
  <c r="E595" i="10"/>
  <c r="D595" i="10" s="1"/>
  <c r="E594" i="10"/>
  <c r="F594" i="10" s="1"/>
  <c r="E593" i="10"/>
  <c r="F593" i="10" s="1"/>
  <c r="E592" i="10"/>
  <c r="F592" i="10" s="1"/>
  <c r="E591" i="10"/>
  <c r="F591" i="10" s="1"/>
  <c r="E590" i="10"/>
  <c r="F590" i="10" s="1"/>
  <c r="E589" i="10"/>
  <c r="F589" i="10" s="1"/>
  <c r="E588" i="10"/>
  <c r="F588" i="10" s="1"/>
  <c r="E586" i="10"/>
  <c r="D586" i="10" s="1"/>
  <c r="E585" i="10"/>
  <c r="D585" i="10" s="1"/>
  <c r="E584" i="10"/>
  <c r="D584" i="10" s="1"/>
  <c r="E583" i="10"/>
  <c r="D583" i="10" s="1"/>
  <c r="E582" i="10"/>
  <c r="D582" i="10" s="1"/>
  <c r="E581" i="10"/>
  <c r="D581" i="10" s="1"/>
  <c r="E580" i="10"/>
  <c r="D580" i="10" s="1"/>
  <c r="E579" i="10"/>
  <c r="D579" i="10" s="1"/>
  <c r="E578" i="10"/>
  <c r="D578" i="10" s="1"/>
  <c r="E577" i="10"/>
  <c r="D577" i="10" s="1"/>
  <c r="E576" i="10"/>
  <c r="D576" i="10" s="1"/>
  <c r="E575" i="10"/>
  <c r="D575" i="10" s="1"/>
  <c r="E574" i="10"/>
  <c r="D574" i="10" s="1"/>
  <c r="E573" i="10"/>
  <c r="D573" i="10" s="1"/>
  <c r="E571" i="10"/>
  <c r="D571" i="10" s="1"/>
  <c r="E570" i="10"/>
  <c r="D570" i="10" s="1"/>
  <c r="E569" i="10"/>
  <c r="D569" i="10" s="1"/>
  <c r="E568" i="10"/>
  <c r="D568" i="10" s="1"/>
  <c r="E567" i="10"/>
  <c r="D567" i="10" s="1"/>
  <c r="E565" i="10"/>
  <c r="D565" i="10" s="1"/>
  <c r="E564" i="10"/>
  <c r="D564" i="10" s="1"/>
  <c r="E563" i="10"/>
  <c r="D563" i="10" s="1"/>
  <c r="E562" i="10"/>
  <c r="D562" i="10" s="1"/>
  <c r="E561" i="10"/>
  <c r="D561" i="10" s="1"/>
  <c r="E560" i="10"/>
  <c r="D560" i="10" s="1"/>
  <c r="E559" i="10"/>
  <c r="D559" i="10" s="1"/>
  <c r="E558" i="10"/>
  <c r="D558" i="10" s="1"/>
  <c r="E557" i="10"/>
  <c r="D557" i="10" s="1"/>
  <c r="E555" i="10"/>
  <c r="D555" i="10" s="1"/>
  <c r="E554" i="10"/>
  <c r="D554" i="10" s="1"/>
  <c r="E553" i="10"/>
  <c r="D553" i="10" s="1"/>
  <c r="E552" i="10"/>
  <c r="D552" i="10" s="1"/>
  <c r="E550" i="10"/>
  <c r="D550" i="10" s="1"/>
  <c r="E549" i="10"/>
  <c r="D549" i="10" s="1"/>
  <c r="E548" i="10"/>
  <c r="D548" i="10" s="1"/>
  <c r="E547" i="10"/>
  <c r="D547" i="10" s="1"/>
  <c r="E546" i="10"/>
  <c r="D546" i="10" s="1"/>
  <c r="E545" i="10"/>
  <c r="D545" i="10" s="1"/>
  <c r="E544" i="10"/>
  <c r="D544" i="10" s="1"/>
  <c r="E543" i="10"/>
  <c r="D543" i="10" s="1"/>
  <c r="E542" i="10"/>
  <c r="D542" i="10" s="1"/>
  <c r="E541" i="10"/>
  <c r="D541" i="10" s="1"/>
  <c r="E540" i="10"/>
  <c r="D540" i="10" s="1"/>
  <c r="E539" i="10"/>
  <c r="D539" i="10" s="1"/>
  <c r="E538" i="10"/>
  <c r="D538" i="10" s="1"/>
  <c r="E537" i="10"/>
  <c r="D537" i="10" s="1"/>
  <c r="E536" i="10"/>
  <c r="D536" i="10" s="1"/>
  <c r="E535" i="10"/>
  <c r="D535" i="10" s="1"/>
  <c r="E533" i="10"/>
  <c r="D533" i="10" s="1"/>
  <c r="E532" i="10"/>
  <c r="D532" i="10" s="1"/>
  <c r="E531" i="10"/>
  <c r="D531" i="10" s="1"/>
  <c r="E530" i="10"/>
  <c r="D530" i="10" s="1"/>
  <c r="E529" i="10"/>
  <c r="D529" i="10" s="1"/>
  <c r="E528" i="10"/>
  <c r="D528" i="10" s="1"/>
  <c r="E527" i="10"/>
  <c r="D527" i="10" s="1"/>
  <c r="E526" i="10"/>
  <c r="D526" i="10" s="1"/>
  <c r="E524" i="10"/>
  <c r="D524" i="10" s="1"/>
  <c r="E523" i="10"/>
  <c r="D523" i="10" s="1"/>
  <c r="E522" i="10"/>
  <c r="D522" i="10" s="1"/>
  <c r="E521" i="10"/>
  <c r="D521" i="10" s="1"/>
  <c r="E520" i="10"/>
  <c r="D520" i="10" s="1"/>
  <c r="E517" i="10"/>
  <c r="D517" i="10" s="1"/>
  <c r="E516" i="10"/>
  <c r="D516" i="10" s="1"/>
  <c r="E515" i="10"/>
  <c r="D515" i="10" s="1"/>
  <c r="E514" i="10"/>
  <c r="D514" i="10" s="1"/>
  <c r="E513" i="10"/>
  <c r="D513" i="10" s="1"/>
  <c r="E512" i="10"/>
  <c r="D512" i="10" s="1"/>
  <c r="E511" i="10"/>
  <c r="D511" i="10" s="1"/>
  <c r="E510" i="10"/>
  <c r="D510" i="10" s="1"/>
  <c r="E509" i="10"/>
  <c r="D509" i="10" s="1"/>
  <c r="E507" i="10"/>
  <c r="D507" i="10" s="1"/>
  <c r="E506" i="10"/>
  <c r="D506" i="10" s="1"/>
  <c r="E505" i="10"/>
  <c r="D505" i="10" s="1"/>
  <c r="E504" i="10"/>
  <c r="D504" i="10" s="1"/>
  <c r="E503" i="10"/>
  <c r="D503" i="10" s="1"/>
  <c r="E501" i="10"/>
  <c r="D501" i="10" s="1"/>
  <c r="E500" i="10"/>
  <c r="D500" i="10" s="1"/>
  <c r="E499" i="10"/>
  <c r="D499" i="10" s="1"/>
  <c r="E498" i="10"/>
  <c r="D498" i="10" s="1"/>
  <c r="E497" i="10"/>
  <c r="D497" i="10" s="1"/>
  <c r="E495" i="10"/>
  <c r="D495" i="10" s="1"/>
  <c r="E494" i="10"/>
  <c r="D494" i="10" s="1"/>
  <c r="E493" i="10"/>
  <c r="D493" i="10" s="1"/>
  <c r="E491" i="10"/>
  <c r="D491" i="10" s="1"/>
  <c r="E490" i="10"/>
  <c r="D490" i="10" s="1"/>
  <c r="E488" i="10"/>
  <c r="D488" i="10" s="1"/>
  <c r="E487" i="10"/>
  <c r="D487" i="10" s="1"/>
  <c r="E486" i="10"/>
  <c r="D486" i="10" s="1"/>
  <c r="E485" i="10"/>
  <c r="D485" i="10" s="1"/>
  <c r="E484" i="10"/>
  <c r="D484" i="10" s="1"/>
  <c r="E483" i="10"/>
  <c r="D483" i="10" s="1"/>
  <c r="E482" i="10"/>
  <c r="D482" i="10" s="1"/>
  <c r="E481" i="10"/>
  <c r="D481" i="10" s="1"/>
  <c r="E480" i="10"/>
  <c r="D480" i="10" s="1"/>
  <c r="E479" i="10"/>
  <c r="D479" i="10" s="1"/>
  <c r="E478" i="10"/>
  <c r="D478" i="10" s="1"/>
  <c r="E477" i="10"/>
  <c r="D477" i="10" s="1"/>
  <c r="E476" i="10"/>
  <c r="D476" i="10" s="1"/>
  <c r="E475" i="10"/>
  <c r="D475" i="10" s="1"/>
  <c r="E474" i="10"/>
  <c r="D474" i="10" s="1"/>
  <c r="E473" i="10"/>
  <c r="D473" i="10" s="1"/>
  <c r="E471" i="10"/>
  <c r="D471" i="10" s="1"/>
  <c r="E470" i="10"/>
  <c r="D470" i="10" s="1"/>
  <c r="E469" i="10"/>
  <c r="D469" i="10" s="1"/>
  <c r="E468" i="10"/>
  <c r="D468" i="10" s="1"/>
  <c r="E466" i="10"/>
  <c r="D466" i="10" s="1"/>
  <c r="E465" i="10"/>
  <c r="D465" i="10" s="1"/>
  <c r="E464" i="10"/>
  <c r="D464" i="10" s="1"/>
  <c r="E463" i="10"/>
  <c r="D463" i="10" s="1"/>
  <c r="E462" i="10"/>
  <c r="D462" i="10" s="1"/>
  <c r="E461" i="10"/>
  <c r="D461" i="10" s="1"/>
  <c r="E459" i="10"/>
  <c r="D459" i="10" s="1"/>
  <c r="E458" i="10"/>
  <c r="D458" i="10" s="1"/>
  <c r="E456" i="10"/>
  <c r="D456" i="10" s="1"/>
  <c r="E455" i="10"/>
  <c r="D455" i="10" s="1"/>
  <c r="E454" i="10"/>
  <c r="D454" i="10" s="1"/>
  <c r="E452" i="10"/>
  <c r="D452" i="10" s="1"/>
  <c r="E451" i="10"/>
  <c r="D451" i="10" s="1"/>
  <c r="E450" i="10"/>
  <c r="D450" i="10" s="1"/>
  <c r="E449" i="10"/>
  <c r="D449" i="10" s="1"/>
  <c r="E448" i="10"/>
  <c r="D448" i="10" s="1"/>
  <c r="E447" i="10"/>
  <c r="D447" i="10" s="1"/>
  <c r="E446" i="10"/>
  <c r="D446" i="10" s="1"/>
  <c r="E445" i="10"/>
  <c r="D445" i="10" s="1"/>
  <c r="E444" i="10"/>
  <c r="D444" i="10" s="1"/>
  <c r="E443" i="10"/>
  <c r="D443" i="10" s="1"/>
  <c r="E442" i="10"/>
  <c r="D442" i="10" s="1"/>
  <c r="E441" i="10"/>
  <c r="D441" i="10" s="1"/>
  <c r="E440" i="10"/>
  <c r="D440" i="10" s="1"/>
  <c r="E439" i="10"/>
  <c r="D439" i="10" s="1"/>
  <c r="E438" i="10"/>
  <c r="D438" i="10" s="1"/>
  <c r="E437" i="10"/>
  <c r="D437" i="10" s="1"/>
  <c r="E436" i="10"/>
  <c r="D436" i="10" s="1"/>
  <c r="E435" i="10"/>
  <c r="D435" i="10" s="1"/>
  <c r="E434" i="10"/>
  <c r="D434" i="10" s="1"/>
  <c r="E433" i="10"/>
  <c r="D433" i="10" s="1"/>
  <c r="E432" i="10"/>
  <c r="D432" i="10" s="1"/>
  <c r="E431" i="10"/>
  <c r="D431" i="10" s="1"/>
  <c r="E430" i="10"/>
  <c r="D430" i="10" s="1"/>
  <c r="E429" i="10"/>
  <c r="D429" i="10" s="1"/>
  <c r="E427" i="10"/>
  <c r="D427" i="10" s="1"/>
  <c r="E426" i="10"/>
  <c r="D426" i="10" s="1"/>
  <c r="E425" i="10"/>
  <c r="D425" i="10" s="1"/>
  <c r="E424" i="10"/>
  <c r="D424" i="10" s="1"/>
  <c r="E423" i="10"/>
  <c r="D423" i="10" s="1"/>
  <c r="E421" i="10"/>
  <c r="F421" i="10" s="1"/>
  <c r="E420" i="10"/>
  <c r="F420" i="10" s="1"/>
  <c r="E418" i="10"/>
  <c r="F418" i="10" s="1"/>
  <c r="E417" i="10"/>
  <c r="F417" i="10" s="1"/>
  <c r="E415" i="10"/>
  <c r="F415" i="10" s="1"/>
  <c r="E414" i="10"/>
  <c r="F414" i="10" s="1"/>
  <c r="E413" i="10"/>
  <c r="F413" i="10" s="1"/>
  <c r="E412" i="10"/>
  <c r="F412" i="10" s="1"/>
  <c r="E410" i="10"/>
  <c r="F410" i="10" s="1"/>
  <c r="E409" i="10"/>
  <c r="F409" i="10" s="1"/>
  <c r="E408" i="10"/>
  <c r="F408" i="10" s="1"/>
  <c r="E407" i="10"/>
  <c r="F407" i="10" s="1"/>
  <c r="E406" i="10"/>
  <c r="F406" i="10" s="1"/>
  <c r="E405" i="10"/>
  <c r="D405" i="10" s="1"/>
  <c r="E404" i="10"/>
  <c r="D404" i="10" s="1"/>
  <c r="E403" i="10"/>
  <c r="D403" i="10" s="1"/>
  <c r="E402" i="10"/>
  <c r="D402" i="10" s="1"/>
  <c r="E401" i="10"/>
  <c r="D401" i="10" s="1"/>
  <c r="E400" i="10"/>
  <c r="D400" i="10" s="1"/>
  <c r="E399" i="10"/>
  <c r="D399" i="10" s="1"/>
  <c r="E397" i="10"/>
  <c r="D397" i="10" s="1"/>
  <c r="E396" i="10"/>
  <c r="D396" i="10" s="1"/>
  <c r="E395" i="10"/>
  <c r="D395" i="10" s="1"/>
  <c r="E393" i="10"/>
  <c r="D393" i="10" s="1"/>
  <c r="E392" i="10"/>
  <c r="D392" i="10" s="1"/>
  <c r="E391" i="10"/>
  <c r="D391" i="10" s="1"/>
  <c r="E390" i="10"/>
  <c r="D390" i="10" s="1"/>
  <c r="E389" i="10"/>
  <c r="D389" i="10" s="1"/>
  <c r="E387" i="10"/>
  <c r="D387" i="10" s="1"/>
  <c r="E386" i="10"/>
  <c r="D386" i="10" s="1"/>
  <c r="E384" i="10"/>
  <c r="D384" i="10" s="1"/>
  <c r="E383" i="10"/>
  <c r="D383" i="10" s="1"/>
  <c r="E382" i="10"/>
  <c r="D382" i="10" s="1"/>
  <c r="E381" i="10"/>
  <c r="D381" i="10" s="1"/>
  <c r="E380" i="10"/>
  <c r="D380" i="10" s="1"/>
  <c r="E379" i="10"/>
  <c r="D379" i="10" s="1"/>
  <c r="E377" i="10"/>
  <c r="D377" i="10" s="1"/>
  <c r="E376" i="10"/>
  <c r="D376" i="10" s="1"/>
  <c r="E375" i="10"/>
  <c r="D375" i="10" s="1"/>
  <c r="E374" i="10"/>
  <c r="D374" i="10" s="1"/>
  <c r="E373" i="10"/>
  <c r="D373" i="10" s="1"/>
  <c r="E372" i="10"/>
  <c r="D372" i="10" s="1"/>
  <c r="E371" i="10"/>
  <c r="D371" i="10" s="1"/>
  <c r="E369" i="10"/>
  <c r="D369" i="10" s="1"/>
  <c r="E368" i="10"/>
  <c r="D368" i="10" s="1"/>
  <c r="E367" i="10"/>
  <c r="D367" i="10" s="1"/>
  <c r="E366" i="10"/>
  <c r="D366" i="10" s="1"/>
  <c r="E365" i="10"/>
  <c r="D365" i="10" s="1"/>
  <c r="E363" i="10"/>
  <c r="D363" i="10" s="1"/>
  <c r="E362" i="10"/>
  <c r="D362" i="10" s="1"/>
  <c r="E361" i="10"/>
  <c r="D361" i="10" s="1"/>
  <c r="E360" i="10"/>
  <c r="D360" i="10" s="1"/>
  <c r="E359" i="10"/>
  <c r="D359" i="10" s="1"/>
  <c r="E358" i="10"/>
  <c r="D358" i="10" s="1"/>
  <c r="E357" i="10"/>
  <c r="D357" i="10" s="1"/>
  <c r="E355" i="10"/>
  <c r="D355" i="10" s="1"/>
  <c r="E354" i="10"/>
  <c r="D354" i="10" s="1"/>
  <c r="E353" i="10"/>
  <c r="D353" i="10" s="1"/>
  <c r="E351" i="10"/>
  <c r="D351" i="10" s="1"/>
  <c r="E350" i="10"/>
  <c r="D350" i="10" s="1"/>
  <c r="E349" i="10"/>
  <c r="D349" i="10" s="1"/>
  <c r="E348" i="10"/>
  <c r="D348" i="10" s="1"/>
  <c r="E346" i="10"/>
  <c r="D346" i="10" s="1"/>
  <c r="E345" i="10"/>
  <c r="D345" i="10" s="1"/>
  <c r="E343" i="10"/>
  <c r="D343" i="10" s="1"/>
  <c r="E342" i="10"/>
  <c r="D342" i="10" s="1"/>
  <c r="E340" i="10"/>
  <c r="D340" i="10" s="1"/>
  <c r="E339" i="10"/>
  <c r="D339" i="10" s="1"/>
  <c r="E338" i="10"/>
  <c r="D338" i="10" s="1"/>
  <c r="E337" i="10"/>
  <c r="D337" i="10" s="1"/>
  <c r="E336" i="10"/>
  <c r="D336" i="10" s="1"/>
  <c r="E334" i="10"/>
  <c r="D334" i="10" s="1"/>
  <c r="E333" i="10"/>
  <c r="D333" i="10" s="1"/>
  <c r="E332" i="10"/>
  <c r="D332" i="10" s="1"/>
  <c r="E330" i="10"/>
  <c r="D330" i="10" s="1"/>
  <c r="E329" i="10"/>
  <c r="D329" i="10" s="1"/>
  <c r="E327" i="10"/>
  <c r="D327" i="10" s="1"/>
  <c r="E326" i="10"/>
  <c r="D326" i="10" s="1"/>
  <c r="E325" i="10"/>
  <c r="D325" i="10" s="1"/>
  <c r="E324" i="10"/>
  <c r="D324" i="10" s="1"/>
  <c r="E323" i="10"/>
  <c r="D323" i="10" s="1"/>
  <c r="E321" i="10"/>
  <c r="D321" i="10" s="1"/>
  <c r="E320" i="10"/>
  <c r="D320" i="10" s="1"/>
  <c r="E318" i="10"/>
  <c r="D318" i="10" s="1"/>
  <c r="E317" i="10"/>
  <c r="D317" i="10" s="1"/>
  <c r="E316" i="10"/>
  <c r="D316" i="10" s="1"/>
  <c r="E315" i="10"/>
  <c r="D315" i="10" s="1"/>
  <c r="E314" i="10"/>
  <c r="D314" i="10" s="1"/>
  <c r="E312" i="10"/>
  <c r="D312" i="10" s="1"/>
  <c r="E311" i="10"/>
  <c r="D311" i="10" s="1"/>
  <c r="E310" i="10"/>
  <c r="D310" i="10" s="1"/>
  <c r="E309" i="10"/>
  <c r="D309" i="10" s="1"/>
  <c r="E308" i="10"/>
  <c r="D308" i="10" s="1"/>
  <c r="E307" i="10"/>
  <c r="D307" i="10" s="1"/>
  <c r="E305" i="10"/>
  <c r="D305" i="10" s="1"/>
  <c r="E304" i="10"/>
  <c r="D304" i="10" s="1"/>
  <c r="E303" i="10"/>
  <c r="D303" i="10" s="1"/>
  <c r="E302" i="10"/>
  <c r="D302" i="10" s="1"/>
  <c r="E301" i="10"/>
  <c r="D301" i="10" s="1"/>
  <c r="E300" i="10"/>
  <c r="D300" i="10" s="1"/>
  <c r="E299" i="10"/>
  <c r="D299" i="10" s="1"/>
  <c r="E297" i="10"/>
  <c r="D297" i="10" s="1"/>
  <c r="E296" i="10"/>
  <c r="D296" i="10" s="1"/>
  <c r="E295" i="10"/>
  <c r="D295" i="10" s="1"/>
  <c r="E294" i="10"/>
  <c r="D294" i="10" s="1"/>
  <c r="E293" i="10"/>
  <c r="D293" i="10" s="1"/>
  <c r="E291" i="10"/>
  <c r="D291" i="10" s="1"/>
  <c r="E290" i="10"/>
  <c r="D290" i="10" s="1"/>
  <c r="E289" i="10"/>
  <c r="D289" i="10" s="1"/>
  <c r="E288" i="10"/>
  <c r="D288" i="10" s="1"/>
  <c r="E286" i="10"/>
  <c r="D286" i="10" s="1"/>
  <c r="E285" i="10"/>
  <c r="D285" i="10" s="1"/>
  <c r="E284" i="10"/>
  <c r="D284" i="10" s="1"/>
  <c r="E283" i="10"/>
  <c r="D283" i="10" s="1"/>
  <c r="E281" i="10"/>
  <c r="D281" i="10" s="1"/>
  <c r="E280" i="10"/>
  <c r="D280" i="10" s="1"/>
  <c r="E279" i="10"/>
  <c r="D279" i="10" s="1"/>
  <c r="E277" i="10"/>
  <c r="D277" i="10" s="1"/>
  <c r="E276" i="10"/>
  <c r="D276" i="10" s="1"/>
  <c r="E275" i="10"/>
  <c r="D275" i="10" s="1"/>
  <c r="E274" i="10"/>
  <c r="D274" i="10" s="1"/>
  <c r="E272" i="10"/>
  <c r="D272" i="10" s="1"/>
  <c r="E271" i="10"/>
  <c r="D271" i="10" s="1"/>
  <c r="E270" i="10"/>
  <c r="D270" i="10" s="1"/>
  <c r="E269" i="10"/>
  <c r="D269" i="10" s="1"/>
  <c r="E268" i="10"/>
  <c r="D268" i="10" s="1"/>
  <c r="E267" i="10"/>
  <c r="D267" i="10" s="1"/>
  <c r="E265" i="10"/>
  <c r="D265" i="10" s="1"/>
  <c r="E264" i="10"/>
  <c r="D264" i="10" s="1"/>
  <c r="E262" i="10"/>
  <c r="D262" i="10" s="1"/>
  <c r="E261" i="10"/>
  <c r="D261" i="10" s="1"/>
  <c r="E259" i="10"/>
  <c r="D259" i="10" s="1"/>
  <c r="E258" i="10"/>
  <c r="D258" i="10" s="1"/>
  <c r="E256" i="10"/>
  <c r="D256" i="10" s="1"/>
  <c r="E255" i="10"/>
  <c r="D255" i="10" s="1"/>
  <c r="E254" i="10"/>
  <c r="D254" i="10" s="1"/>
  <c r="E252" i="10"/>
  <c r="D252" i="10" s="1"/>
  <c r="E251" i="10"/>
  <c r="D251" i="10" s="1"/>
  <c r="E250" i="10"/>
  <c r="D250" i="10" s="1"/>
  <c r="E249" i="10"/>
  <c r="D249" i="10" s="1"/>
  <c r="E248" i="10"/>
  <c r="D248" i="10" s="1"/>
  <c r="E247" i="10"/>
  <c r="D247" i="10" s="1"/>
  <c r="E245" i="10"/>
  <c r="D245" i="10" s="1"/>
  <c r="E244" i="10"/>
  <c r="D244" i="10" s="1"/>
  <c r="E242" i="10"/>
  <c r="D242" i="10" s="1"/>
  <c r="E241" i="10"/>
  <c r="D241" i="10" s="1"/>
  <c r="E239" i="10"/>
  <c r="D239" i="10" s="1"/>
  <c r="E238" i="10"/>
  <c r="D238" i="10" s="1"/>
  <c r="E237" i="10"/>
  <c r="D237" i="10" s="1"/>
  <c r="E236" i="10"/>
  <c r="D236" i="10" s="1"/>
  <c r="E235" i="10"/>
  <c r="D235" i="10" s="1"/>
  <c r="E234" i="10"/>
  <c r="D234" i="10" s="1"/>
  <c r="E233" i="10"/>
  <c r="D233" i="10" s="1"/>
  <c r="E232" i="10"/>
  <c r="D232" i="10" s="1"/>
  <c r="E231" i="10"/>
  <c r="D231" i="10" s="1"/>
  <c r="E229" i="10"/>
  <c r="D229" i="10" s="1"/>
  <c r="E228" i="10"/>
  <c r="D228" i="10" s="1"/>
  <c r="E227" i="10"/>
  <c r="D227" i="10" s="1"/>
  <c r="E226" i="10"/>
  <c r="D226" i="10" s="1"/>
  <c r="E224" i="10"/>
  <c r="D224" i="10" s="1"/>
  <c r="E223" i="10"/>
  <c r="D223" i="10" s="1"/>
  <c r="E222" i="10"/>
  <c r="D222" i="10" s="1"/>
  <c r="E221" i="10"/>
  <c r="D221" i="10" s="1"/>
  <c r="E220" i="10"/>
  <c r="D220" i="10" s="1"/>
  <c r="E219" i="10"/>
  <c r="D219" i="10" s="1"/>
  <c r="E218" i="10"/>
  <c r="D218" i="10" s="1"/>
  <c r="E217" i="10"/>
  <c r="D217" i="10" s="1"/>
  <c r="E215" i="10"/>
  <c r="D215" i="10" s="1"/>
  <c r="E214" i="10"/>
  <c r="D214" i="10" s="1"/>
  <c r="E213" i="10"/>
  <c r="D213" i="10" s="1"/>
  <c r="E212" i="10"/>
  <c r="D212" i="10" s="1"/>
  <c r="E209" i="10"/>
  <c r="D209" i="10" s="1"/>
  <c r="E208" i="10"/>
  <c r="D208" i="10" s="1"/>
  <c r="E206" i="10"/>
  <c r="D206" i="10" s="1"/>
  <c r="E205" i="10"/>
  <c r="D205" i="10" s="1"/>
  <c r="E204" i="10"/>
  <c r="D204" i="10" s="1"/>
  <c r="E203" i="10"/>
  <c r="D203" i="10" s="1"/>
  <c r="E202" i="10"/>
  <c r="D202" i="10" s="1"/>
  <c r="E201" i="10"/>
  <c r="D201" i="10" s="1"/>
  <c r="E200" i="10"/>
  <c r="D200" i="10" s="1"/>
  <c r="E199" i="10"/>
  <c r="D199" i="10" s="1"/>
  <c r="E197" i="10"/>
  <c r="D197" i="10" s="1"/>
  <c r="E196" i="10"/>
  <c r="D196" i="10" s="1"/>
  <c r="E195" i="10"/>
  <c r="D195" i="10" s="1"/>
  <c r="E194" i="10"/>
  <c r="D194" i="10" s="1"/>
  <c r="E193" i="10"/>
  <c r="D193" i="10" s="1"/>
  <c r="E191" i="10"/>
  <c r="D191" i="10" s="1"/>
  <c r="E190" i="10"/>
  <c r="D190" i="10" s="1"/>
  <c r="E189" i="10"/>
  <c r="D189" i="10" s="1"/>
  <c r="E188" i="10"/>
  <c r="D188" i="10" s="1"/>
  <c r="E185" i="10"/>
  <c r="D185" i="10" s="1"/>
  <c r="E184" i="10"/>
  <c r="D184" i="10" s="1"/>
  <c r="E183" i="10"/>
  <c r="D183" i="10" s="1"/>
  <c r="E182" i="10"/>
  <c r="D182" i="10" s="1"/>
  <c r="E180" i="10"/>
  <c r="D180" i="10" s="1"/>
  <c r="E179" i="10"/>
  <c r="D179" i="10" s="1"/>
  <c r="E178" i="10"/>
  <c r="D178" i="10" s="1"/>
  <c r="E177" i="10"/>
  <c r="D177" i="10" s="1"/>
  <c r="E175" i="10"/>
  <c r="D175" i="10" s="1"/>
  <c r="E174" i="10"/>
  <c r="D174" i="10" s="1"/>
  <c r="E173" i="10"/>
  <c r="D173" i="10" s="1"/>
  <c r="E172" i="10"/>
  <c r="D172" i="10" s="1"/>
  <c r="E170" i="10"/>
  <c r="D170" i="10" s="1"/>
  <c r="E169" i="10"/>
  <c r="D169" i="10" s="1"/>
  <c r="E168" i="10"/>
  <c r="D168" i="10" s="1"/>
  <c r="E166" i="10"/>
  <c r="D166" i="10" s="1"/>
  <c r="E165" i="10"/>
  <c r="D165" i="10" s="1"/>
  <c r="E164" i="10"/>
  <c r="D164" i="10" s="1"/>
  <c r="E163" i="10"/>
  <c r="D163" i="10" s="1"/>
  <c r="E162" i="10"/>
  <c r="D162" i="10" s="1"/>
  <c r="E161" i="10"/>
  <c r="D161" i="10" s="1"/>
  <c r="E160" i="10"/>
  <c r="D160" i="10" s="1"/>
  <c r="E158" i="10"/>
  <c r="D158" i="10" s="1"/>
  <c r="E157" i="10"/>
  <c r="D157" i="10" s="1"/>
  <c r="E155" i="10"/>
  <c r="D155" i="10" s="1"/>
  <c r="E154" i="10"/>
  <c r="D154" i="10" s="1"/>
  <c r="E153" i="10"/>
  <c r="D153" i="10" s="1"/>
  <c r="E152" i="10"/>
  <c r="D152" i="10" s="1"/>
  <c r="E151" i="10"/>
  <c r="D151" i="10" s="1"/>
  <c r="E150" i="10"/>
  <c r="D150" i="10" s="1"/>
  <c r="E149" i="10"/>
  <c r="D149" i="10" s="1"/>
  <c r="E148" i="10"/>
  <c r="D148" i="10" s="1"/>
  <c r="E146" i="10"/>
  <c r="D146" i="10" s="1"/>
  <c r="E145" i="10"/>
  <c r="D145" i="10" s="1"/>
  <c r="E144" i="10"/>
  <c r="D144" i="10" s="1"/>
  <c r="E143" i="10"/>
  <c r="D143" i="10" s="1"/>
  <c r="E142" i="10"/>
  <c r="D142" i="10" s="1"/>
  <c r="E141" i="10"/>
  <c r="D141" i="10" s="1"/>
  <c r="E138" i="10"/>
  <c r="D138" i="10" s="1"/>
  <c r="E137" i="10"/>
  <c r="D137" i="10" s="1"/>
  <c r="E136" i="10"/>
  <c r="D136" i="10" s="1"/>
  <c r="E135" i="10"/>
  <c r="D135" i="10" s="1"/>
  <c r="E134" i="10"/>
  <c r="D134" i="10" s="1"/>
  <c r="E133" i="10"/>
  <c r="D133" i="10" s="1"/>
  <c r="E132" i="10"/>
  <c r="D132" i="10" s="1"/>
  <c r="E131" i="10"/>
  <c r="D131" i="10" s="1"/>
  <c r="E130" i="10"/>
  <c r="D130" i="10" s="1"/>
  <c r="E128" i="10"/>
  <c r="D128" i="10" s="1"/>
  <c r="E127" i="10"/>
  <c r="D127" i="10" s="1"/>
  <c r="E126" i="10"/>
  <c r="D126" i="10" s="1"/>
  <c r="E125" i="10"/>
  <c r="D125" i="10" s="1"/>
  <c r="E124" i="10"/>
  <c r="D124" i="10" s="1"/>
  <c r="E123" i="10"/>
  <c r="D123" i="10" s="1"/>
  <c r="E122" i="10"/>
  <c r="D122" i="10" s="1"/>
  <c r="E121" i="10"/>
  <c r="D121" i="10" s="1"/>
  <c r="E120" i="10"/>
  <c r="D120" i="10" s="1"/>
  <c r="E119" i="10"/>
  <c r="D119" i="10" s="1"/>
  <c r="E118" i="10"/>
  <c r="D118" i="10" s="1"/>
  <c r="E117" i="10"/>
  <c r="D117" i="10" s="1"/>
  <c r="E116" i="10"/>
  <c r="D116" i="10" s="1"/>
  <c r="E115" i="10"/>
  <c r="D115" i="10" s="1"/>
  <c r="E114" i="10"/>
  <c r="D114" i="10" s="1"/>
  <c r="E113" i="10"/>
  <c r="D113" i="10" s="1"/>
  <c r="E111" i="10"/>
  <c r="D111" i="10" s="1"/>
  <c r="E110" i="10"/>
  <c r="D110" i="10" s="1"/>
  <c r="E109" i="10"/>
  <c r="D109" i="10" s="1"/>
  <c r="E108" i="10"/>
  <c r="D108" i="10" s="1"/>
  <c r="E107" i="10"/>
  <c r="D107" i="10" s="1"/>
  <c r="E106" i="10"/>
  <c r="D106" i="10" s="1"/>
  <c r="E105" i="10"/>
  <c r="D105" i="10" s="1"/>
  <c r="E104" i="10"/>
  <c r="D104" i="10" s="1"/>
  <c r="E103" i="10"/>
  <c r="D103" i="10" s="1"/>
  <c r="E102" i="10"/>
  <c r="D102" i="10" s="1"/>
  <c r="E101" i="10"/>
  <c r="D101" i="10" s="1"/>
  <c r="E99" i="10"/>
  <c r="D99" i="10" s="1"/>
  <c r="E98" i="10"/>
  <c r="D98" i="10" s="1"/>
  <c r="E97" i="10"/>
  <c r="D97" i="10" s="1"/>
  <c r="E96" i="10"/>
  <c r="D96" i="10" s="1"/>
  <c r="E95" i="10"/>
  <c r="D95" i="10" s="1"/>
  <c r="E94" i="10"/>
  <c r="D94" i="10" s="1"/>
  <c r="E93" i="10"/>
  <c r="D93" i="10" s="1"/>
  <c r="E92" i="10"/>
  <c r="D92" i="10" s="1"/>
  <c r="E90" i="10"/>
  <c r="D90" i="10" s="1"/>
  <c r="E89" i="10"/>
  <c r="D89" i="10" s="1"/>
  <c r="E88" i="10"/>
  <c r="D88" i="10" s="1"/>
  <c r="E87" i="10"/>
  <c r="D87" i="10" s="1"/>
  <c r="E86" i="10"/>
  <c r="D86" i="10" s="1"/>
  <c r="E84" i="10"/>
  <c r="D84" i="10" s="1"/>
  <c r="E83" i="10"/>
  <c r="D83" i="10" s="1"/>
  <c r="E82" i="10"/>
  <c r="D82" i="10" s="1"/>
  <c r="E81" i="10"/>
  <c r="D81" i="10" s="1"/>
  <c r="E80" i="10"/>
  <c r="D80" i="10" s="1"/>
  <c r="E79" i="10"/>
  <c r="D79" i="10" s="1"/>
  <c r="E78" i="10"/>
  <c r="D78" i="10" s="1"/>
  <c r="E77" i="10"/>
  <c r="D77" i="10" s="1"/>
  <c r="E76" i="10"/>
  <c r="D76" i="10" s="1"/>
  <c r="E75" i="10"/>
  <c r="D75" i="10" s="1"/>
  <c r="E74" i="10"/>
  <c r="D74" i="10" s="1"/>
  <c r="E73" i="10"/>
  <c r="D73" i="10" s="1"/>
  <c r="E72" i="10"/>
  <c r="D72" i="10" s="1"/>
  <c r="E70" i="10"/>
  <c r="D70" i="10" s="1"/>
  <c r="E69" i="10"/>
  <c r="D69" i="10" s="1"/>
  <c r="E68" i="10"/>
  <c r="D68" i="10" s="1"/>
  <c r="E67" i="10"/>
  <c r="D67" i="10" s="1"/>
  <c r="E65" i="10"/>
  <c r="D65" i="10" s="1"/>
  <c r="E64" i="10"/>
  <c r="D64" i="10" s="1"/>
  <c r="E63" i="10"/>
  <c r="D63" i="10" s="1"/>
  <c r="E62" i="10"/>
  <c r="D62" i="10" s="1"/>
  <c r="E60" i="10"/>
  <c r="D60" i="10" s="1"/>
  <c r="E59" i="10"/>
  <c r="D59" i="10" s="1"/>
  <c r="E58" i="10"/>
  <c r="D58" i="10" s="1"/>
  <c r="E57" i="10"/>
  <c r="D57" i="10" s="1"/>
  <c r="E56" i="10"/>
  <c r="D56" i="10" s="1"/>
  <c r="E55" i="10"/>
  <c r="D55" i="10" s="1"/>
  <c r="E53" i="10"/>
  <c r="D53" i="10" s="1"/>
  <c r="E52" i="10"/>
  <c r="D52" i="10" s="1"/>
  <c r="E51" i="10"/>
  <c r="D51" i="10" s="1"/>
  <c r="E50" i="10"/>
  <c r="D50" i="10" s="1"/>
  <c r="E49" i="10"/>
  <c r="D49" i="10" s="1"/>
  <c r="E48" i="10"/>
  <c r="D48" i="10" s="1"/>
  <c r="E47" i="10"/>
  <c r="D47" i="10" s="1"/>
  <c r="E45" i="10"/>
  <c r="D45" i="10" s="1"/>
  <c r="E44" i="10"/>
  <c r="D44" i="10" s="1"/>
  <c r="E43" i="10"/>
  <c r="D43" i="10" s="1"/>
  <c r="E42" i="10"/>
  <c r="D42" i="10" s="1"/>
  <c r="E41" i="10"/>
  <c r="D41" i="10" s="1"/>
  <c r="E40" i="10"/>
  <c r="D40" i="10" s="1"/>
  <c r="E39" i="10"/>
  <c r="D39" i="10" s="1"/>
  <c r="E37" i="10"/>
  <c r="D37" i="10" s="1"/>
  <c r="E36" i="10"/>
  <c r="D36" i="10" s="1"/>
  <c r="E35" i="10"/>
  <c r="D35" i="10" s="1"/>
  <c r="E34" i="10"/>
  <c r="D34" i="10" s="1"/>
  <c r="E33" i="10"/>
  <c r="D33" i="10" s="1"/>
  <c r="E32" i="10"/>
  <c r="D32" i="10" s="1"/>
  <c r="E31" i="10"/>
  <c r="D31" i="10" s="1"/>
  <c r="E29" i="10"/>
  <c r="D29" i="10" s="1"/>
  <c r="E28" i="10"/>
  <c r="D28" i="10" s="1"/>
  <c r="E27" i="10"/>
  <c r="D27" i="10" s="1"/>
  <c r="E26" i="10"/>
  <c r="D26" i="10" s="1"/>
  <c r="E23" i="10"/>
  <c r="D23" i="10" s="1"/>
  <c r="E22" i="10"/>
  <c r="D22" i="10" s="1"/>
  <c r="E21" i="10"/>
  <c r="D21" i="10" s="1"/>
  <c r="E20" i="10"/>
  <c r="D20" i="10" s="1"/>
  <c r="E19" i="10"/>
  <c r="D19" i="10" s="1"/>
  <c r="E18" i="10"/>
  <c r="D18" i="10" s="1"/>
  <c r="E17" i="10"/>
  <c r="D17" i="10" s="1"/>
  <c r="E16" i="10"/>
  <c r="D16" i="10" s="1"/>
  <c r="E15" i="10"/>
  <c r="D15" i="10" s="1"/>
  <c r="E14" i="10"/>
  <c r="D14" i="10" s="1"/>
  <c r="E13" i="10"/>
  <c r="D13" i="10" s="1"/>
  <c r="F2" i="10"/>
</calcChain>
</file>

<file path=xl/comments1.xml><?xml version="1.0" encoding="utf-8"?>
<comments xmlns="http://schemas.openxmlformats.org/spreadsheetml/2006/main">
  <authors>
    <author>Плужник А.В.</author>
  </authors>
  <commentList>
    <comment ref="G8" authorId="0">
      <text>
        <r>
          <rPr>
            <b/>
            <sz val="8"/>
            <color indexed="81"/>
            <rFont val="Tahoma"/>
            <family val="2"/>
            <charset val="204"/>
          </rPr>
          <t>Плужник А.В.:</t>
        </r>
        <r>
          <rPr>
            <sz val="8"/>
            <color indexed="81"/>
            <rFont val="Tahoma"/>
            <family val="2"/>
            <charset val="204"/>
          </rPr>
          <t xml:space="preserve">
2021 г</t>
        </r>
      </text>
    </comment>
  </commentList>
</comments>
</file>

<file path=xl/comments2.xml><?xml version="1.0" encoding="utf-8"?>
<comments xmlns="http://schemas.openxmlformats.org/spreadsheetml/2006/main">
  <authors>
    <author>Плужник А.В.</author>
  </authors>
  <commentList>
    <comment ref="B660" authorId="0">
      <text>
        <r>
          <rPr>
            <b/>
            <sz val="8"/>
            <color indexed="81"/>
            <rFont val="Tahoma"/>
            <family val="2"/>
            <charset val="204"/>
          </rPr>
          <t>Плужник А.В.:</t>
        </r>
        <r>
          <rPr>
            <sz val="8"/>
            <color indexed="81"/>
            <rFont val="Tahoma"/>
            <family val="2"/>
            <charset val="204"/>
          </rPr>
          <t xml:space="preserve">
переливание крови</t>
        </r>
      </text>
    </comment>
    <comment ref="B1012" authorId="0">
      <text>
        <r>
          <rPr>
            <b/>
            <sz val="8"/>
            <color indexed="81"/>
            <rFont val="Tahoma"/>
            <family val="2"/>
            <charset val="204"/>
          </rPr>
          <t>Плужник А.В.:</t>
        </r>
        <r>
          <rPr>
            <sz val="8"/>
            <color indexed="81"/>
            <rFont val="Tahoma"/>
            <family val="2"/>
            <charset val="204"/>
          </rPr>
          <t xml:space="preserve">
скидка 20% по общ.орг. Снята по указанию О.Ю.</t>
        </r>
      </text>
    </comment>
  </commentList>
</comments>
</file>

<file path=xl/comments3.xml><?xml version="1.0" encoding="utf-8"?>
<comments xmlns="http://schemas.openxmlformats.org/spreadsheetml/2006/main">
  <authors>
    <author>Плужник А.В.</author>
  </authors>
  <commentList>
    <comment ref="A228" authorId="0">
      <text>
        <r>
          <rPr>
            <b/>
            <sz val="8"/>
            <color indexed="81"/>
            <rFont val="Tahoma"/>
            <family val="2"/>
            <charset val="204"/>
          </rPr>
          <t>Плужник А.В.:</t>
        </r>
        <r>
          <rPr>
            <sz val="8"/>
            <color indexed="81"/>
            <rFont val="Tahoma"/>
            <family val="2"/>
            <charset val="204"/>
          </rPr>
          <t xml:space="preserve">
скидка 20% по общ.орг. Снята по указанию О.Ю.</t>
        </r>
      </text>
    </comment>
  </commentList>
</comments>
</file>

<file path=xl/comments4.xml><?xml version="1.0" encoding="utf-8"?>
<comments xmlns="http://schemas.openxmlformats.org/spreadsheetml/2006/main">
  <authors>
    <author>Плужник А.В.</author>
  </authors>
  <commentList>
    <comment ref="G8" authorId="0">
      <text>
        <r>
          <rPr>
            <b/>
            <sz val="8"/>
            <color indexed="81"/>
            <rFont val="Tahoma"/>
            <family val="2"/>
            <charset val="204"/>
          </rPr>
          <t>Плужник А.В.:</t>
        </r>
        <r>
          <rPr>
            <sz val="8"/>
            <color indexed="81"/>
            <rFont val="Tahoma"/>
            <family val="2"/>
            <charset val="204"/>
          </rPr>
          <t xml:space="preserve">
О федеральном бюджетие на 2021г. и на плановый период 2022 и 2023 гг.
№ 385-ФЗ от 08.12.2020г.
</t>
        </r>
      </text>
    </comment>
    <comment ref="A483" authorId="0">
      <text>
        <r>
          <rPr>
            <b/>
            <sz val="8"/>
            <color indexed="81"/>
            <rFont val="Tahoma"/>
            <family val="2"/>
            <charset val="204"/>
          </rPr>
          <t>Плужник А.В.:</t>
        </r>
        <r>
          <rPr>
            <sz val="8"/>
            <color indexed="81"/>
            <rFont val="Tahoma"/>
            <family val="2"/>
            <charset val="204"/>
          </rPr>
          <t xml:space="preserve">
скидка 20% по общ.орг. Снята по указанию О.Ю.</t>
        </r>
      </text>
    </comment>
  </commentList>
</comments>
</file>

<file path=xl/sharedStrings.xml><?xml version="1.0" encoding="utf-8"?>
<sst xmlns="http://schemas.openxmlformats.org/spreadsheetml/2006/main" count="7753" uniqueCount="3802">
  <si>
    <t>№ п/п</t>
  </si>
  <si>
    <t>Наименование услуги</t>
  </si>
  <si>
    <t>Единица измерения</t>
  </si>
  <si>
    <t>Цена, руб.</t>
  </si>
  <si>
    <t>1. Бактериологические исследования</t>
  </si>
  <si>
    <t>1.1</t>
  </si>
  <si>
    <t>1 проба</t>
  </si>
  <si>
    <t>1.2</t>
  </si>
  <si>
    <t>1.3</t>
  </si>
  <si>
    <t>1.4</t>
  </si>
  <si>
    <t>1.5</t>
  </si>
  <si>
    <t>1.6</t>
  </si>
  <si>
    <t>1.7</t>
  </si>
  <si>
    <t>1.8</t>
  </si>
  <si>
    <t>1.9</t>
  </si>
  <si>
    <t>1.11</t>
  </si>
  <si>
    <t>Исследование воды для с/х нужд</t>
  </si>
  <si>
    <t>1.12</t>
  </si>
  <si>
    <t>1.13</t>
  </si>
  <si>
    <t>1.14</t>
  </si>
  <si>
    <t>1.15</t>
  </si>
  <si>
    <t>1.16</t>
  </si>
  <si>
    <t>1.17</t>
  </si>
  <si>
    <t>1.18</t>
  </si>
  <si>
    <t>1.19</t>
  </si>
  <si>
    <t>1.20</t>
  </si>
  <si>
    <t>Исследование спермы замороженной</t>
  </si>
  <si>
    <t>1.21</t>
  </si>
  <si>
    <t>Исследование спермы нативной</t>
  </si>
  <si>
    <t>1.22</t>
  </si>
  <si>
    <t>2.1</t>
  </si>
  <si>
    <t>2.2</t>
  </si>
  <si>
    <t>2.3</t>
  </si>
  <si>
    <t>2.4</t>
  </si>
  <si>
    <t>ИНАН лошадей</t>
  </si>
  <si>
    <t>Токсоплазмоз</t>
  </si>
  <si>
    <t>Случная болезнь</t>
  </si>
  <si>
    <t>Блютанг</t>
  </si>
  <si>
    <t>Кетоновые тела в сыворотке крови</t>
  </si>
  <si>
    <t>3.2</t>
  </si>
  <si>
    <t>Каротин в сыворотке крови</t>
  </si>
  <si>
    <t>3.3</t>
  </si>
  <si>
    <t>Общий белок в сыворотке крови</t>
  </si>
  <si>
    <t>Кальций в сыворотке крови</t>
  </si>
  <si>
    <t>3.5</t>
  </si>
  <si>
    <t>Фосфор в сыворотке крови</t>
  </si>
  <si>
    <t>3.6</t>
  </si>
  <si>
    <t>Магний  в сыворотке крови</t>
  </si>
  <si>
    <t>Резервная щелочность в сыворотке крови</t>
  </si>
  <si>
    <t>Белковые фракции в сыворотке крови</t>
  </si>
  <si>
    <t>1 показатель</t>
  </si>
  <si>
    <t>Содержание глюкозы в крови по Сомоджи</t>
  </si>
  <si>
    <t>Альбумин (на биохимическом анализаторе)</t>
  </si>
  <si>
    <t>АЛТ (на биохимическом анализаторе)</t>
  </si>
  <si>
    <t>АСТ (на биохимическом анализаторе)</t>
  </si>
  <si>
    <t>Альфа амилаза (на биохимическом анализаторе)</t>
  </si>
  <si>
    <t>Глюкоза (на биохимическом анализаторе)</t>
  </si>
  <si>
    <t>Железо (на биохимическом анализаторе)</t>
  </si>
  <si>
    <t>Калий (на биохимическом анализаторе)</t>
  </si>
  <si>
    <t>Кальций (на биохимическом анализаторе)</t>
  </si>
  <si>
    <t>Креатинин (на биохимическом анализаторе)</t>
  </si>
  <si>
    <t>Магний (на биохимическом анализаторе)</t>
  </si>
  <si>
    <t>Мочевая кислота (на биохимическом анализаторе)</t>
  </si>
  <si>
    <t>Мочевина (на биохимическом анализаторе)</t>
  </si>
  <si>
    <t>Натрий (на биохимическом анализаторе)</t>
  </si>
  <si>
    <t>Общий белок (на биохимическом анализаторе)</t>
  </si>
  <si>
    <t>Общий билирубин (на биохимическом анализаторе)</t>
  </si>
  <si>
    <t>Фосфор (на биохимическом анализаторе)</t>
  </si>
  <si>
    <t>Холестерин (на биохимическом анализаторе)</t>
  </si>
  <si>
    <t>Щелочная фосфатаза (на биохимическом анализаторе)</t>
  </si>
  <si>
    <t>Нитриты</t>
  </si>
  <si>
    <t>Нитраты</t>
  </si>
  <si>
    <t>Общая кислотность</t>
  </si>
  <si>
    <t>4.3</t>
  </si>
  <si>
    <t>4.4</t>
  </si>
  <si>
    <t>Массовая доля редуцирующих сахаров</t>
  </si>
  <si>
    <t>4.5</t>
  </si>
  <si>
    <t>Массовая доля воды</t>
  </si>
  <si>
    <t>4.6</t>
  </si>
  <si>
    <t>Органолептические показатели</t>
  </si>
  <si>
    <t>Диастазное число</t>
  </si>
  <si>
    <t>Механические примеси</t>
  </si>
  <si>
    <t>Сахароза</t>
  </si>
  <si>
    <t>Примесь патоки</t>
  </si>
  <si>
    <t>5.1</t>
  </si>
  <si>
    <t>Вывод лейкоформулы</t>
  </si>
  <si>
    <t>5.3</t>
  </si>
  <si>
    <t>СОЭ</t>
  </si>
  <si>
    <t>Гемоглобин</t>
  </si>
  <si>
    <t>Лейкоциты</t>
  </si>
  <si>
    <t>Эритроциты</t>
  </si>
  <si>
    <t>6.1</t>
  </si>
  <si>
    <t>Исследование спермы</t>
  </si>
  <si>
    <t>6.2</t>
  </si>
  <si>
    <t>6.3</t>
  </si>
  <si>
    <t>Исследование смывов</t>
  </si>
  <si>
    <t>7.1</t>
  </si>
  <si>
    <t>7.2</t>
  </si>
  <si>
    <t>7.3</t>
  </si>
  <si>
    <t>8.1</t>
  </si>
  <si>
    <t>8.2</t>
  </si>
  <si>
    <t>Каротин в кормах растительного происхождения</t>
  </si>
  <si>
    <t>8.3</t>
  </si>
  <si>
    <t>8.4</t>
  </si>
  <si>
    <t>8.5</t>
  </si>
  <si>
    <t>Определение маслянной, уксусной, молочной кислот в силосе</t>
  </si>
  <si>
    <t>Массовая доля кальция в кормах</t>
  </si>
  <si>
    <t>Содержание сырой клетчатки в кормах</t>
  </si>
  <si>
    <t>Содержание в кормах золы, нерастворимой в соляной кислоте</t>
  </si>
  <si>
    <t>Определение кислотности зерна</t>
  </si>
  <si>
    <t>Определение сорной, зерновой примеси</t>
  </si>
  <si>
    <t xml:space="preserve">Зараженность комбикорма вредителями </t>
  </si>
  <si>
    <t>Определение запаха в кормах</t>
  </si>
  <si>
    <t>Выделение микроскопических грибов в комбикормах</t>
  </si>
  <si>
    <t>Выделение микроскопических грибов в грубых кормах, зерне</t>
  </si>
  <si>
    <t>Определение спорыньи в комбикормах</t>
  </si>
  <si>
    <t>Содержание головневых грибов в комбикормах</t>
  </si>
  <si>
    <t>9.1</t>
  </si>
  <si>
    <t>9.2</t>
  </si>
  <si>
    <t>Нитриты в патматериале</t>
  </si>
  <si>
    <t>9.4</t>
  </si>
  <si>
    <t>Нитраты в патматериале</t>
  </si>
  <si>
    <t>9.5</t>
  </si>
  <si>
    <t>Поваренная соль в патматериале</t>
  </si>
  <si>
    <t>9.6</t>
  </si>
  <si>
    <t>9.7</t>
  </si>
  <si>
    <t>9.8</t>
  </si>
  <si>
    <t>9.9</t>
  </si>
  <si>
    <t>9.10</t>
  </si>
  <si>
    <t>9.11</t>
  </si>
  <si>
    <t>Исследование воды для животноводческих целей (экспресс метод)</t>
  </si>
  <si>
    <t>Хламидиоз ИФА</t>
  </si>
  <si>
    <t>Токсоплазмоз ИФА</t>
  </si>
  <si>
    <t>Панлейкопения кошек ИФА</t>
  </si>
  <si>
    <t>Аденовирус (гепатит) ИФА</t>
  </si>
  <si>
    <t>Вирусный энтерит ИФА</t>
  </si>
  <si>
    <t>10.1</t>
  </si>
  <si>
    <t>Реакция на сероводород</t>
  </si>
  <si>
    <t>10.2</t>
  </si>
  <si>
    <t>Определение аммиака</t>
  </si>
  <si>
    <t>Органолептическая оценка</t>
  </si>
  <si>
    <t>Реакция с формалином</t>
  </si>
  <si>
    <t>Реакция на пероксидазу</t>
  </si>
  <si>
    <t xml:space="preserve">Кислотность  </t>
  </si>
  <si>
    <t>Плотность</t>
  </si>
  <si>
    <t>Нейтрализующие вещества</t>
  </si>
  <si>
    <t>Определение кетоновых тел</t>
  </si>
  <si>
    <t>Общий белок</t>
  </si>
  <si>
    <t>14.1</t>
  </si>
  <si>
    <t xml:space="preserve">  обследование</t>
  </si>
  <si>
    <t>14.2</t>
  </si>
  <si>
    <t>1.23</t>
  </si>
  <si>
    <t>1.24</t>
  </si>
  <si>
    <t>1.25</t>
  </si>
  <si>
    <t>10 пробирок</t>
  </si>
  <si>
    <t>12.1</t>
  </si>
  <si>
    <t>12.2</t>
  </si>
  <si>
    <t>12.3</t>
  </si>
  <si>
    <t>12.4</t>
  </si>
  <si>
    <t>11.1</t>
  </si>
  <si>
    <t>11.2</t>
  </si>
  <si>
    <t>11.3</t>
  </si>
  <si>
    <t>Радиологическое исследование воды на суммарную альфа- и бета-активность</t>
  </si>
  <si>
    <t>13.1</t>
  </si>
  <si>
    <t>4.1</t>
  </si>
  <si>
    <t>12.5</t>
  </si>
  <si>
    <t>12.6</t>
  </si>
  <si>
    <t>12.7</t>
  </si>
  <si>
    <t>12.8</t>
  </si>
  <si>
    <t>12.9</t>
  </si>
  <si>
    <t>12.10</t>
  </si>
  <si>
    <t>12.11</t>
  </si>
  <si>
    <t>12.12</t>
  </si>
  <si>
    <t>12.13</t>
  </si>
  <si>
    <t>12.14</t>
  </si>
  <si>
    <t>12.15</t>
  </si>
  <si>
    <t>12.20</t>
  </si>
  <si>
    <t>12.21</t>
  </si>
  <si>
    <t>12.22</t>
  </si>
  <si>
    <t>12.23</t>
  </si>
  <si>
    <t>12.24</t>
  </si>
  <si>
    <t>12.25</t>
  </si>
  <si>
    <t>12.26</t>
  </si>
  <si>
    <t>12.27</t>
  </si>
  <si>
    <t>12.28</t>
  </si>
  <si>
    <t>12.29</t>
  </si>
  <si>
    <t>12.30</t>
  </si>
  <si>
    <t>12.31</t>
  </si>
  <si>
    <t>13.2</t>
  </si>
  <si>
    <t>13.3</t>
  </si>
  <si>
    <t>13.4</t>
  </si>
  <si>
    <t>13.5</t>
  </si>
  <si>
    <t>13.6</t>
  </si>
  <si>
    <t>13.7</t>
  </si>
  <si>
    <t>13.8</t>
  </si>
  <si>
    <t>13.9</t>
  </si>
  <si>
    <t>13.10</t>
  </si>
  <si>
    <t>13.11</t>
  </si>
  <si>
    <t>13.12</t>
  </si>
  <si>
    <t>13.13</t>
  </si>
  <si>
    <t>13.14</t>
  </si>
  <si>
    <t>13.15</t>
  </si>
  <si>
    <t>Исследование соскобов на  арахноэнтамозы</t>
  </si>
  <si>
    <t>Определение активности уреазы в жмыхах, шротах</t>
  </si>
  <si>
    <t xml:space="preserve">Содержание кальция в костях  </t>
  </si>
  <si>
    <t xml:space="preserve">Содержание фосфора в костях  </t>
  </si>
  <si>
    <t xml:space="preserve">Содержание золы в костях </t>
  </si>
  <si>
    <t>Исследование мочи (микроскопия)</t>
  </si>
  <si>
    <t>12.16</t>
  </si>
  <si>
    <t>12.17</t>
  </si>
  <si>
    <t>12.18</t>
  </si>
  <si>
    <t>12.19</t>
  </si>
  <si>
    <t>Другие фальсификации: мука, крахмал, патока</t>
  </si>
  <si>
    <t>Определение алколоидов</t>
  </si>
  <si>
    <t>Определение  pH</t>
  </si>
  <si>
    <t>9.12</t>
  </si>
  <si>
    <t>7.4</t>
  </si>
  <si>
    <t>7.5</t>
  </si>
  <si>
    <t>6.5</t>
  </si>
  <si>
    <t>Содержание алколоидов в патматериале</t>
  </si>
  <si>
    <t>9.13</t>
  </si>
  <si>
    <t>9.14</t>
  </si>
  <si>
    <t>9.15</t>
  </si>
  <si>
    <t>9.16</t>
  </si>
  <si>
    <t>Исследование расплода пчел (американский, европейский гнилец)</t>
  </si>
  <si>
    <t>Хламидиоз РСК</t>
  </si>
  <si>
    <t>Листериоз  РСК</t>
  </si>
  <si>
    <t>Сибиркая язва (кож.сырье)   РП</t>
  </si>
  <si>
    <t>Дирофиляриоз</t>
  </si>
  <si>
    <t>Определение летучих, жирных кислот кормах</t>
  </si>
  <si>
    <t>Оксиметилфурфурол (качественная реакция)</t>
  </si>
  <si>
    <t xml:space="preserve">Определение летучих, жирных кислот </t>
  </si>
  <si>
    <t>Металломагнитная примесь в комбикормах</t>
  </si>
  <si>
    <t>1 экземпляр</t>
  </si>
  <si>
    <t>14.3</t>
  </si>
  <si>
    <t>3.1</t>
  </si>
  <si>
    <t>3.4</t>
  </si>
  <si>
    <t>10.3</t>
  </si>
  <si>
    <t>12.32</t>
  </si>
  <si>
    <t xml:space="preserve"> </t>
  </si>
  <si>
    <t>Исследование кала КРС, МРС, свиней, лошадей, с/х птицы</t>
  </si>
  <si>
    <t>Гельминтозы, протозоозы собак, кошек, декоративных животных и птицы</t>
  </si>
  <si>
    <t>Лямблиоз животных</t>
  </si>
  <si>
    <t xml:space="preserve">Исследование 1 семьи пчел на паразитарные болезни </t>
  </si>
  <si>
    <t>Проба с сернокислой медью</t>
  </si>
  <si>
    <t>до 1 кг</t>
  </si>
  <si>
    <t>13.16</t>
  </si>
  <si>
    <t xml:space="preserve">Трихомоноз </t>
  </si>
  <si>
    <t>КМАФАнМ</t>
  </si>
  <si>
    <t>Сальмонеллы</t>
  </si>
  <si>
    <t>Соматические клетки в сыром молоке</t>
  </si>
  <si>
    <t>Ингибирующие вещества</t>
  </si>
  <si>
    <t>13.17</t>
  </si>
  <si>
    <t>13.18</t>
  </si>
  <si>
    <t>13.19</t>
  </si>
  <si>
    <t>13.20</t>
  </si>
  <si>
    <t>13.21</t>
  </si>
  <si>
    <t>2. Паразитологические исследования</t>
  </si>
  <si>
    <t>3. Вирусологические исследования</t>
  </si>
  <si>
    <t>5.2</t>
  </si>
  <si>
    <t>Приложение 2</t>
  </si>
  <si>
    <t>Исследование мочи (полный)</t>
  </si>
  <si>
    <t>Исследование мочи (сокращенный)</t>
  </si>
  <si>
    <t>Инфекционный перитонит (короновирус) кошек</t>
  </si>
  <si>
    <t>3.7</t>
  </si>
  <si>
    <t>Органолептические показатели жира из рыбы</t>
  </si>
  <si>
    <t>Определение кислотного числа в жире из рыбы</t>
  </si>
  <si>
    <t>Определение неомыляемых веществ в жире из рыбы</t>
  </si>
  <si>
    <t>Определение примесей нежирового характера, исключая воду в жире из рыбы</t>
  </si>
  <si>
    <t>Органолептика зерна (запах, цвет)</t>
  </si>
  <si>
    <t>12.33</t>
  </si>
  <si>
    <t>12.34</t>
  </si>
  <si>
    <t>12.35</t>
  </si>
  <si>
    <t>Контроль зараженности воздуха плесневелыми грибами</t>
  </si>
  <si>
    <t>7.6</t>
  </si>
  <si>
    <t>Тромбоциты</t>
  </si>
  <si>
    <t>Определение жира в молоке</t>
  </si>
  <si>
    <t>15.1</t>
  </si>
  <si>
    <t>15.2</t>
  </si>
  <si>
    <t>15.3</t>
  </si>
  <si>
    <t>Парвовирусный энтерит собак, норок</t>
  </si>
  <si>
    <t xml:space="preserve">Панлейкопения кошек  </t>
  </si>
  <si>
    <t>Чума плотоядных</t>
  </si>
  <si>
    <t>4.2</t>
  </si>
  <si>
    <t>6.4</t>
  </si>
  <si>
    <t>9.3</t>
  </si>
  <si>
    <t>9.17</t>
  </si>
  <si>
    <t>Исследование пчел (сальмонеллез, колибактериоз, цитробактериоз)</t>
  </si>
  <si>
    <t>Исследование влагалищной, препуциальной слизи (кампилобактериоз)</t>
  </si>
  <si>
    <t>Видовая принадлежность паразитов</t>
  </si>
  <si>
    <t>5.4</t>
  </si>
  <si>
    <t>5.5</t>
  </si>
  <si>
    <t>Вскрытие кошки</t>
  </si>
  <si>
    <t>Вскрытие кролика, пушных зверей</t>
  </si>
  <si>
    <t>Вскрытие птицы декоративной</t>
  </si>
  <si>
    <t>Вскрытие птицы сельскохозяйственной</t>
  </si>
  <si>
    <t>Вскрытие свиньи, подсвинок, поросят</t>
  </si>
  <si>
    <t>Вскрытие собаки</t>
  </si>
  <si>
    <t>Вскрытие теленка, МРС</t>
  </si>
  <si>
    <t>14.4</t>
  </si>
  <si>
    <t>14.5</t>
  </si>
  <si>
    <t>14.6</t>
  </si>
  <si>
    <t>14.7</t>
  </si>
  <si>
    <t>2 - 4 кг</t>
  </si>
  <si>
    <t>1 - 2 кг</t>
  </si>
  <si>
    <t>4 - 6 кг</t>
  </si>
  <si>
    <t>6 - 8 кг</t>
  </si>
  <si>
    <t>2. ПЦР диагностика в режиме реального времени</t>
  </si>
  <si>
    <t>3. Серологические исследования</t>
  </si>
  <si>
    <t>3.8</t>
  </si>
  <si>
    <t>3.9</t>
  </si>
  <si>
    <t>3.10</t>
  </si>
  <si>
    <t>3.11</t>
  </si>
  <si>
    <t>3.12</t>
  </si>
  <si>
    <t>3.13</t>
  </si>
  <si>
    <t>3.14</t>
  </si>
  <si>
    <t>3.15</t>
  </si>
  <si>
    <t xml:space="preserve">4. Вирусологические исследования </t>
  </si>
  <si>
    <t>4.7</t>
  </si>
  <si>
    <t>5. Гематологические исследования</t>
  </si>
  <si>
    <t>5.6</t>
  </si>
  <si>
    <t>6. Копрологические исследования</t>
  </si>
  <si>
    <t>8. Микологические исследования</t>
  </si>
  <si>
    <t>9. Биохимические исследования</t>
  </si>
  <si>
    <t>9.18</t>
  </si>
  <si>
    <t>9.19</t>
  </si>
  <si>
    <t>9.20</t>
  </si>
  <si>
    <t>9.21</t>
  </si>
  <si>
    <t>9.22</t>
  </si>
  <si>
    <t>9.23</t>
  </si>
  <si>
    <t>9.24</t>
  </si>
  <si>
    <t>9.25</t>
  </si>
  <si>
    <t>9.26</t>
  </si>
  <si>
    <t>9.27</t>
  </si>
  <si>
    <t>9.28</t>
  </si>
  <si>
    <t>9.29</t>
  </si>
  <si>
    <t>9.30</t>
  </si>
  <si>
    <t>9.31</t>
  </si>
  <si>
    <t>9.32</t>
  </si>
  <si>
    <t>9.33</t>
  </si>
  <si>
    <t>9.34</t>
  </si>
  <si>
    <t>10.4</t>
  </si>
  <si>
    <t>10.5</t>
  </si>
  <si>
    <t>10.6</t>
  </si>
  <si>
    <t>11. Радиологические исследования</t>
  </si>
  <si>
    <t>13.22</t>
  </si>
  <si>
    <t>13.23</t>
  </si>
  <si>
    <t>13.24</t>
  </si>
  <si>
    <t>13.25</t>
  </si>
  <si>
    <t>13.26</t>
  </si>
  <si>
    <t>13.27</t>
  </si>
  <si>
    <t>13.28</t>
  </si>
  <si>
    <t>13.29</t>
  </si>
  <si>
    <t>13.30</t>
  </si>
  <si>
    <t>13.31</t>
  </si>
  <si>
    <t>15.4</t>
  </si>
  <si>
    <t>15.5</t>
  </si>
  <si>
    <t>15.6</t>
  </si>
  <si>
    <t>15.7</t>
  </si>
  <si>
    <t>16.1</t>
  </si>
  <si>
    <t>16.2</t>
  </si>
  <si>
    <t>16.3</t>
  </si>
  <si>
    <t>Исследование пробы воздуха</t>
  </si>
  <si>
    <t>Составление протокола вскрытия</t>
  </si>
  <si>
    <t>Утверждено приказом по Учреждению</t>
  </si>
  <si>
    <t>Европейский гнилец пчёл (микроскопическое исследование, бактериологическое исследование)</t>
  </si>
  <si>
    <t>Американский гнилец пчёл (микроскопическое исследование, бактериологическое исследование)</t>
  </si>
  <si>
    <t xml:space="preserve">Трихинеллез </t>
  </si>
  <si>
    <t>Бешенство (исследование методом ИФА)</t>
  </si>
  <si>
    <t>Грипп птиц (исследование методом ИФА)</t>
  </si>
  <si>
    <t>САП (исследование методом РА)</t>
  </si>
  <si>
    <t>Исследования зольных остатков проб воды для поения животных из контрольных пунктов на сумарную бета-активность</t>
  </si>
  <si>
    <t>Корма импортные растительного происхождения</t>
  </si>
  <si>
    <t xml:space="preserve">Лептоспироз - микроскопия мочи </t>
  </si>
  <si>
    <t>Исследование соскобов на  микозы (микроскопическое) без определения вида</t>
  </si>
  <si>
    <t>Исследование соскобов на  микозы (культуральное)</t>
  </si>
  <si>
    <t>АЧС свиней (исследование методом ИФА и ПЦР)(падеж, вынужденный убой)</t>
  </si>
  <si>
    <t>4.8</t>
  </si>
  <si>
    <t>Определение общей токсичности кормов, комбикормов, комбикормового сырья (с постановкой биопробы на мышах)</t>
  </si>
  <si>
    <t>10.7</t>
  </si>
  <si>
    <t xml:space="preserve">АЧС свиней (исследование методом ИФА) </t>
  </si>
  <si>
    <t xml:space="preserve">АЧС свиней (исследование методом ИХМ) </t>
  </si>
  <si>
    <t xml:space="preserve">АЧС </t>
  </si>
  <si>
    <t xml:space="preserve">Блютанг РДСК </t>
  </si>
  <si>
    <t>16.4</t>
  </si>
  <si>
    <t>16.5</t>
  </si>
  <si>
    <t>Определение микрофлоры молока при маститах</t>
  </si>
  <si>
    <t>Перечень  бесплатных диагностических исследований  при диагностике карантинных и особо опасных заболеваний не связанные с предпринимательской деятельностью заказчика</t>
  </si>
  <si>
    <t>1. Исследование в п. 2.1 проводится по предписаниям государственных контрольных органов</t>
  </si>
  <si>
    <t>по фактическим затратам</t>
  </si>
  <si>
    <t>Корма для непродуктивных животных (правила бак. исследований кормов)</t>
  </si>
  <si>
    <t>Корма животного происхождения (правила бак. исследований кормов)</t>
  </si>
  <si>
    <t>Корма растительного происхождения (правила бак. исследований кормов)</t>
  </si>
  <si>
    <t>Корма импортные животного происхождения  (правила бак. исследований кормов)</t>
  </si>
  <si>
    <t>Исследование патматериала на возбудителей инфекционных болезней*</t>
  </si>
  <si>
    <t>1 посев</t>
  </si>
  <si>
    <t>Исследование патматериала на возбудителей инфекционных болезней с постановкой биопробы*</t>
  </si>
  <si>
    <t>Исследование мяса от вынужденно убитых животных (кормовые и пищевые токсикоинфекции)</t>
  </si>
  <si>
    <t>Бруцеллез  РА (карантинные мероприятия в связи с продажей)</t>
  </si>
  <si>
    <t>Бруцеллез РБП (карантинные мероприятия в связи с продажей)</t>
  </si>
  <si>
    <t>Бруцеллез  РИД (карантинные мероприятия в связи с продажей)</t>
  </si>
  <si>
    <t>Бруцеллез  РСК (карантинные мероприятия в связи с продажей)</t>
  </si>
  <si>
    <t>Сап лошадей   РА (карантинные мероприятия в связи с продажей)</t>
  </si>
  <si>
    <t>Пироплазмоз (исследование на зооплазмозы)</t>
  </si>
  <si>
    <t>16.6</t>
  </si>
  <si>
    <t>*</t>
  </si>
  <si>
    <t>4. Серологические исследования</t>
  </si>
  <si>
    <t>5. Радиологические исследования</t>
  </si>
  <si>
    <t>Исследование гамма-фона окружающей среды</t>
  </si>
  <si>
    <t>1.10</t>
  </si>
  <si>
    <t>Исследование рыбы на миксобактериозы первичное (без определения вида возбудителя)</t>
  </si>
  <si>
    <t>Исследование рыбы на миксобактериозы культуральное развернутое (после первичного)</t>
  </si>
  <si>
    <t>Исследование рыбы, икры на псевдомоноз</t>
  </si>
  <si>
    <t>Исследование рыбы, икры на аэромоноз</t>
  </si>
  <si>
    <t>8.6</t>
  </si>
  <si>
    <t>Исследование  рыбы на бранхиомикоз (микроскопическое)</t>
  </si>
  <si>
    <t>Дифиллоботриоз</t>
  </si>
  <si>
    <t>13. Исследования пищевых продуктов</t>
  </si>
  <si>
    <t>1 партия</t>
  </si>
  <si>
    <t>Массовая концентрация анионов (Cl, NO2, NO3, SO4, PO4, F)</t>
  </si>
  <si>
    <t>Массовая концентрация катионов (NH4, Ba, K, Ca,Mg, Na, Li, Sr)</t>
  </si>
  <si>
    <t>Массовая концентрация железа (железо общее) (флуориметрически/фотометрически)</t>
  </si>
  <si>
    <t>Массовая концентрация нефтепродуктов (флуориметрически)</t>
  </si>
  <si>
    <t>Химическое потребление кислорода-ХПК (бихроматная/пермангонатная окисляемость)</t>
  </si>
  <si>
    <t>14.8</t>
  </si>
  <si>
    <t>14.9</t>
  </si>
  <si>
    <t>Водородный показатель (рН)</t>
  </si>
  <si>
    <t>Удельная электрическая проводимость</t>
  </si>
  <si>
    <t>Мутность</t>
  </si>
  <si>
    <t>Взвешенные вещества</t>
  </si>
  <si>
    <t>16.7</t>
  </si>
  <si>
    <t>17.1</t>
  </si>
  <si>
    <t>17.2</t>
  </si>
  <si>
    <t>Исследование смыва  с поверхности молочного оборудования</t>
  </si>
  <si>
    <t xml:space="preserve">Исследование на условно-патогенную микрофлору смыва бактериологического материала </t>
  </si>
  <si>
    <t>Контроль качества дезинфекции на объектах ветеринарного надзора</t>
  </si>
  <si>
    <t xml:space="preserve">Исследование на сальмонеллез </t>
  </si>
  <si>
    <t>Определение чувствительности микрофлоры к антибиотикам</t>
  </si>
  <si>
    <t>БГКП</t>
  </si>
  <si>
    <t>свыше 10 кг за последующий килограмм</t>
  </si>
  <si>
    <t>18. Другие услуги</t>
  </si>
  <si>
    <t>18.1</t>
  </si>
  <si>
    <t>18.2</t>
  </si>
  <si>
    <t>18.3</t>
  </si>
  <si>
    <t>Листерия</t>
  </si>
  <si>
    <t>Proteus</t>
  </si>
  <si>
    <t>S.aureus</t>
  </si>
  <si>
    <t>Микробиологические показатели воды</t>
  </si>
  <si>
    <t>1.26</t>
  </si>
  <si>
    <t>Органолептические и физикохимические показатели воды</t>
  </si>
  <si>
    <t>14.10</t>
  </si>
  <si>
    <t>Паразитологическое исследование смывов на яйца гельминтов</t>
  </si>
  <si>
    <t>7.7</t>
  </si>
  <si>
    <t>Массовая доля фосфора</t>
  </si>
  <si>
    <t>Определение массовой доли сахара</t>
  </si>
  <si>
    <t>Определение сорбиновой кислоты</t>
  </si>
  <si>
    <t>Определение бензойной кислоты</t>
  </si>
  <si>
    <t xml:space="preserve">Влажность </t>
  </si>
  <si>
    <t xml:space="preserve">Массовая доля золы </t>
  </si>
  <si>
    <t xml:space="preserve">Определение общей кислотности </t>
  </si>
  <si>
    <t xml:space="preserve">Перекисное число </t>
  </si>
  <si>
    <t xml:space="preserve">Кислотное число </t>
  </si>
  <si>
    <t xml:space="preserve">Содержание поваренной соли </t>
  </si>
  <si>
    <t>12.36</t>
  </si>
  <si>
    <t>Определение массовой доли жира в  пищевых продуктах  (ускорен. метод)</t>
  </si>
  <si>
    <t>12.37</t>
  </si>
  <si>
    <t>12.38</t>
  </si>
  <si>
    <t xml:space="preserve">Определение пористости </t>
  </si>
  <si>
    <t>12.40</t>
  </si>
  <si>
    <t>12.41</t>
  </si>
  <si>
    <t xml:space="preserve">Определение pH  </t>
  </si>
  <si>
    <t xml:space="preserve">Массовая доля сырого протеина  </t>
  </si>
  <si>
    <t xml:space="preserve">Определение нитритов  </t>
  </si>
  <si>
    <t xml:space="preserve">Определение нитратов  </t>
  </si>
  <si>
    <t xml:space="preserve">V.parahaemolyticus  </t>
  </si>
  <si>
    <t>Клостридии сульфитредуцирующие</t>
  </si>
  <si>
    <t>Изготовление ксерокопий, печать документов</t>
  </si>
  <si>
    <t>Сканирование документов</t>
  </si>
  <si>
    <t>Подготовка пакета организационных документов (ИП)</t>
  </si>
  <si>
    <t>Подготовка пакета организационных документов (МСП)</t>
  </si>
  <si>
    <t>Получение выписки из ЕГРЮЛ</t>
  </si>
  <si>
    <t>Составление досудебной претензии</t>
  </si>
  <si>
    <t>Составление ответа на досудебную претензию</t>
  </si>
  <si>
    <t>Составление отзыва на исковое заявление</t>
  </si>
  <si>
    <t>Подготовка и оформление документов, необходимых для регистрации, реорганизации и ликвидации предпринимательской деятельности в органах Федеральной налоговой службы:</t>
  </si>
  <si>
    <t>Оказание услуг в подборе квалифицированных кадров, в том числе оформление необходимых документов при приеме на работу, разрешений на право привлечения иностранной рабочей силы и др.:</t>
  </si>
  <si>
    <t>Первичный прием животного (осмотр, постановка диагноза, назначение лечения, назначение исследований)</t>
  </si>
  <si>
    <t>1 голова</t>
  </si>
  <si>
    <t>Повторный прием животного</t>
  </si>
  <si>
    <t>Клинический осмотр здорового животного</t>
  </si>
  <si>
    <t>Консультация ветеринарного специалиста по уходу и содержанию домашних и декоративных животных, птиц, рыб</t>
  </si>
  <si>
    <t>1 консультация</t>
  </si>
  <si>
    <t xml:space="preserve">Консультация ветеринарного специалиста по результатам анализов, без животного </t>
  </si>
  <si>
    <t>Осмотр животного с целью допуска к участию в выставке и других мероприятиях</t>
  </si>
  <si>
    <t xml:space="preserve">Фиксация животного </t>
  </si>
  <si>
    <t>Взвешивание животного</t>
  </si>
  <si>
    <t>Оформление международного паспорта</t>
  </si>
  <si>
    <t>Вакцинация кролика</t>
  </si>
  <si>
    <t>Введение лекарственных препаратов: внутримышечное, подкожное, глазное, назальное, капельное:</t>
  </si>
  <si>
    <t>1 введение</t>
  </si>
  <si>
    <t>Серения:</t>
  </si>
  <si>
    <t xml:space="preserve"> - животное до 5 кг</t>
  </si>
  <si>
    <t xml:space="preserve"> - животное от 5 до 10 кг</t>
  </si>
  <si>
    <t xml:space="preserve"> - животное от 10 до 15 кг</t>
  </si>
  <si>
    <t xml:space="preserve"> - животное от 15 до 30 кг</t>
  </si>
  <si>
    <t>Рикарфа / римадил:</t>
  </si>
  <si>
    <t xml:space="preserve"> - животное от 15 до 20 кг</t>
  </si>
  <si>
    <t xml:space="preserve"> - животное от 20 до 25 кг</t>
  </si>
  <si>
    <t xml:space="preserve"> - животное от 25 до 30 кг</t>
  </si>
  <si>
    <t xml:space="preserve"> - животное от 30 до 60 кг</t>
  </si>
  <si>
    <t>Фортикарб:</t>
  </si>
  <si>
    <t>Флексопрофен:</t>
  </si>
  <si>
    <t>Кабоктан</t>
  </si>
  <si>
    <t xml:space="preserve"> - животное от 20 до 30 кг</t>
  </si>
  <si>
    <t>Иные ветеринарные препараты:</t>
  </si>
  <si>
    <t>- одно введение</t>
  </si>
  <si>
    <t>- 2-3 компонента кошкам и мелким собакам</t>
  </si>
  <si>
    <t>- 2-3 компонента крупным собакам</t>
  </si>
  <si>
    <t>- комплекс подкожных и внутримышечных инъекций (4 и более)</t>
  </si>
  <si>
    <t>Внутривенное  введение лекарственных препаратов:</t>
  </si>
  <si>
    <t>- струйное 1 компонент</t>
  </si>
  <si>
    <t>- капельное 1 компонент</t>
  </si>
  <si>
    <t>- капельное 2-3 компонента</t>
  </si>
  <si>
    <t xml:space="preserve">- капельное комплекс </t>
  </si>
  <si>
    <t xml:space="preserve"> - химиотерапевтического назначения:</t>
  </si>
  <si>
    <r>
      <t>·</t>
    </r>
    <r>
      <rPr>
        <sz val="7"/>
        <color theme="1"/>
        <rFont val="Times New Roman"/>
        <family val="1"/>
        <charset val="204"/>
      </rPr>
      <t xml:space="preserve">  </t>
    </r>
    <r>
      <rPr>
        <sz val="10"/>
        <color theme="1"/>
        <rFont val="Times New Roman"/>
        <family val="1"/>
        <charset val="204"/>
      </rPr>
      <t>животное до 5 кг</t>
    </r>
  </si>
  <si>
    <r>
      <t>·</t>
    </r>
    <r>
      <rPr>
        <sz val="7"/>
        <color theme="1"/>
        <rFont val="Times New Roman"/>
        <family val="1"/>
        <charset val="204"/>
      </rPr>
      <t xml:space="preserve">  </t>
    </r>
    <r>
      <rPr>
        <sz val="10"/>
        <color theme="1"/>
        <rFont val="Times New Roman"/>
        <family val="1"/>
        <charset val="204"/>
      </rPr>
      <t>животное от 5 до 10 кг</t>
    </r>
  </si>
  <si>
    <r>
      <t>·</t>
    </r>
    <r>
      <rPr>
        <sz val="7"/>
        <color theme="1"/>
        <rFont val="Times New Roman"/>
        <family val="1"/>
        <charset val="204"/>
      </rPr>
      <t xml:space="preserve">  </t>
    </r>
    <r>
      <rPr>
        <sz val="10"/>
        <color theme="1"/>
        <rFont val="Times New Roman"/>
        <family val="1"/>
        <charset val="204"/>
      </rPr>
      <t xml:space="preserve"> животное от 10 до 15 кг</t>
    </r>
  </si>
  <si>
    <r>
      <t>·</t>
    </r>
    <r>
      <rPr>
        <sz val="7"/>
        <color theme="1"/>
        <rFont val="Times New Roman"/>
        <family val="1"/>
        <charset val="204"/>
      </rPr>
      <t xml:space="preserve">  </t>
    </r>
    <r>
      <rPr>
        <sz val="10"/>
        <color theme="1"/>
        <rFont val="Times New Roman"/>
        <family val="1"/>
        <charset val="204"/>
      </rPr>
      <t>животное от 15 до 20 кг</t>
    </r>
  </si>
  <si>
    <r>
      <t>·</t>
    </r>
    <r>
      <rPr>
        <sz val="7"/>
        <color theme="1"/>
        <rFont val="Times New Roman"/>
        <family val="1"/>
        <charset val="204"/>
      </rPr>
      <t xml:space="preserve">  </t>
    </r>
    <r>
      <rPr>
        <sz val="10"/>
        <color theme="1"/>
        <rFont val="Times New Roman"/>
        <family val="1"/>
        <charset val="204"/>
      </rPr>
      <t xml:space="preserve"> животное от 20 до 25 кг</t>
    </r>
  </si>
  <si>
    <r>
      <t>·</t>
    </r>
    <r>
      <rPr>
        <sz val="7"/>
        <color theme="1"/>
        <rFont val="Times New Roman"/>
        <family val="1"/>
        <charset val="204"/>
      </rPr>
      <t xml:space="preserve"> </t>
    </r>
    <r>
      <rPr>
        <sz val="10"/>
        <color theme="1"/>
        <rFont val="Times New Roman"/>
        <family val="1"/>
        <charset val="204"/>
      </rPr>
      <t xml:space="preserve"> животное от 25 до 30 кг</t>
    </r>
  </si>
  <si>
    <r>
      <t>·</t>
    </r>
    <r>
      <rPr>
        <sz val="7"/>
        <color theme="1"/>
        <rFont val="Times New Roman"/>
        <family val="1"/>
        <charset val="204"/>
      </rPr>
      <t xml:space="preserve"> </t>
    </r>
    <r>
      <rPr>
        <sz val="10"/>
        <color theme="1"/>
        <rFont val="Times New Roman"/>
        <family val="1"/>
        <charset val="204"/>
      </rPr>
      <t xml:space="preserve"> животное свыше 30 кг</t>
    </r>
  </si>
  <si>
    <t>Установка внутривенного катетера</t>
  </si>
  <si>
    <t>Снятие внутривенного катетера</t>
  </si>
  <si>
    <t xml:space="preserve">Ректальное введение лекарственных препаратов </t>
  </si>
  <si>
    <t>Очистительная клизма</t>
  </si>
  <si>
    <t>Введение препарата перорально 1 компонент</t>
  </si>
  <si>
    <t>Оформление направления на лабораторные и другие исследования</t>
  </si>
  <si>
    <t>1 направление</t>
  </si>
  <si>
    <t xml:space="preserve">Новокаиновая блокада: </t>
  </si>
  <si>
    <t xml:space="preserve"> - инфильтрационная</t>
  </si>
  <si>
    <t xml:space="preserve"> - проводниковая</t>
  </si>
  <si>
    <t>Аппликация мазями</t>
  </si>
  <si>
    <t>1 процедура</t>
  </si>
  <si>
    <t>Взятие проб крови из вены</t>
  </si>
  <si>
    <t>Взятие проб крови периферической</t>
  </si>
  <si>
    <t>Исследование мочи:</t>
  </si>
  <si>
    <t xml:space="preserve"> - забор мочи для исследования</t>
  </si>
  <si>
    <t xml:space="preserve"> - исследование мочи экспресс-методом</t>
  </si>
  <si>
    <t>1 исследование</t>
  </si>
  <si>
    <t xml:space="preserve"> - микроскопия осадка мочи (полный анализ мочи)</t>
  </si>
  <si>
    <t>Взятие смывов для бактериологического исследования</t>
  </si>
  <si>
    <t>Взятие соскоба кожи</t>
  </si>
  <si>
    <t>Микроскопическое исследование соскобов на дерматофиты, демодекоз, эктопаразиты</t>
  </si>
  <si>
    <t>Взятие мазка отпечатка на цитологический анализ</t>
  </si>
  <si>
    <t>Пункционная биопсия на цитологический анализ</t>
  </si>
  <si>
    <t xml:space="preserve">Обработка против гельминтов: </t>
  </si>
  <si>
    <t>1 обработка</t>
  </si>
  <si>
    <t>- кошек отечественными препаратами</t>
  </si>
  <si>
    <t>- кошек импортными препаратами</t>
  </si>
  <si>
    <t>- собак до 1 кг отечественными препаратами</t>
  </si>
  <si>
    <t>- собак от 1 до 10 кг отечественными препаратами</t>
  </si>
  <si>
    <t>- собак от 10 до 20 кг отечественными препаратами</t>
  </si>
  <si>
    <t>- собак от 20 до 30 кг отечественными препаратами</t>
  </si>
  <si>
    <t>- собак от 30 кг отечественными препаратами</t>
  </si>
  <si>
    <t>- собак до 10 кг импортными препаратами</t>
  </si>
  <si>
    <t>- собак от 10 до 20 кг импортными препаратами</t>
  </si>
  <si>
    <t>- собак от 20 до 30 кг импортными препаратами</t>
  </si>
  <si>
    <t>- собак от 30 кг импортными препаратами</t>
  </si>
  <si>
    <t xml:space="preserve">Обработка   против эктопаразитов, арахноэнтомозов:  </t>
  </si>
  <si>
    <t xml:space="preserve"> - птиц отечественными препаратами</t>
  </si>
  <si>
    <t xml:space="preserve"> - кроликов отечественными препаратами</t>
  </si>
  <si>
    <t>Обработка и чистка ушных раковин гигиеническая</t>
  </si>
  <si>
    <t xml:space="preserve">Санация ушных раковин с лечебной целью </t>
  </si>
  <si>
    <t>Спринцевание влагалища или препуция</t>
  </si>
  <si>
    <t xml:space="preserve">Удаление иксодовых клещей на теле животных </t>
  </si>
  <si>
    <t>1 клещ</t>
  </si>
  <si>
    <t xml:space="preserve">Гигиеническая стрижка:  </t>
  </si>
  <si>
    <t>Зондирование пищевода кошек и собак</t>
  </si>
  <si>
    <t>1 манипуляция</t>
  </si>
  <si>
    <t>Люминисцентная диагностика</t>
  </si>
  <si>
    <t>Отоскопия</t>
  </si>
  <si>
    <t>Дневной стационар (не беспокойное животное, наблюдение персоналом)</t>
  </si>
  <si>
    <t>Дневной стационар (лечение, наблюдение персоналом, периодический осмотр врачом)</t>
  </si>
  <si>
    <t>Вакцинация животных с проведением клинического осмотра, консультации, инъекции, внесение данных  в ветеринарный паспорт:</t>
  </si>
  <si>
    <t xml:space="preserve">    - для щенков 4-6 недель</t>
  </si>
  <si>
    <t xml:space="preserve">    - от бешенства</t>
  </si>
  <si>
    <t xml:space="preserve">  - от чумы плотоядных, парвовирусного энтерита, аденовируского гепатита, лептоспироза</t>
  </si>
  <si>
    <t xml:space="preserve">   - от лептоспироза</t>
  </si>
  <si>
    <t xml:space="preserve">   - от лептоспироза и бешенства</t>
  </si>
  <si>
    <t xml:space="preserve">  - от чумы плотоядных, парвовирусного энтерита, аденовируского гепатита, лептоспироза, бешенства</t>
  </si>
  <si>
    <t>Вакцинация против инфекционных болезней с применением импортных поливалентных вакцин</t>
  </si>
  <si>
    <t>Мультикан-6</t>
  </si>
  <si>
    <t>Нобивак Tricat</t>
  </si>
  <si>
    <t>Нобивак  Tricat + Rabies</t>
  </si>
  <si>
    <t xml:space="preserve">Вакцинация и лечение против дерматомикозов: </t>
  </si>
  <si>
    <t xml:space="preserve">  - кошек</t>
  </si>
  <si>
    <t xml:space="preserve">  - собак</t>
  </si>
  <si>
    <t xml:space="preserve">Введение  гипериммунных препаратов с профилактической и лечебной целью: </t>
  </si>
  <si>
    <t>- кошкам</t>
  </si>
  <si>
    <t>- собакам</t>
  </si>
  <si>
    <t>Клиническое обследование животных, покусавших людей, в течение 10 дней (с выдачей ветеринарной справки)</t>
  </si>
  <si>
    <t xml:space="preserve">Электронное мечение животного (чипирование со сканированием) </t>
  </si>
  <si>
    <t>Выезд ветеринарного врача для проведения лечебно-профилактических мероприятий в черте города  (без учета услуги)</t>
  </si>
  <si>
    <t xml:space="preserve"> 1выезд</t>
  </si>
  <si>
    <t xml:space="preserve">Выезд ветеринарного врача для проведения лечебно-профилактических мероприятий за городом на расстояние (без учета услуги):  </t>
  </si>
  <si>
    <t>1 выезд</t>
  </si>
  <si>
    <t xml:space="preserve">- до 20 км  </t>
  </si>
  <si>
    <t xml:space="preserve">- от 20 до 50 км  </t>
  </si>
  <si>
    <t xml:space="preserve">- от 50 до 100 км  </t>
  </si>
  <si>
    <t xml:space="preserve">Седация:  </t>
  </si>
  <si>
    <t>- мелкое животное до 5 кг</t>
  </si>
  <si>
    <t xml:space="preserve">- среднее животное от 5 до 20 кг </t>
  </si>
  <si>
    <t xml:space="preserve">- крупное животное от 20 до 40  кг </t>
  </si>
  <si>
    <t xml:space="preserve">-  более 40 кг </t>
  </si>
  <si>
    <t xml:space="preserve">Гигиеническая обработка когтей:  </t>
  </si>
  <si>
    <t>- кошек</t>
  </si>
  <si>
    <t>- собак</t>
  </si>
  <si>
    <t>Удаление врощенных когтей без наркоза</t>
  </si>
  <si>
    <t>Удаление  врощенных когтей с наркозом</t>
  </si>
  <si>
    <t>Косметические операции на глазах:</t>
  </si>
  <si>
    <t>- заворот век</t>
  </si>
  <si>
    <t>- выворот век</t>
  </si>
  <si>
    <t>- трахеазис</t>
  </si>
  <si>
    <t>- десмоит</t>
  </si>
  <si>
    <t>Удаление зубных отложений (ручное):</t>
  </si>
  <si>
    <t>1 зуб</t>
  </si>
  <si>
    <t>- кошки</t>
  </si>
  <si>
    <t>- собаки до 4 кг</t>
  </si>
  <si>
    <t>- собаки  от 4 до 12 кг</t>
  </si>
  <si>
    <t>- собаки свыше 12 кг</t>
  </si>
  <si>
    <t>Удаление зубных отложений (ультразвук):</t>
  </si>
  <si>
    <t>Удаление молочного зуба</t>
  </si>
  <si>
    <t xml:space="preserve">Удаление постоянного зуба: </t>
  </si>
  <si>
    <t>-  кошки</t>
  </si>
  <si>
    <t>-  собаки</t>
  </si>
  <si>
    <t>Удаление постоянного зуба у собак (с осложнением)</t>
  </si>
  <si>
    <t>Удаление постоянного зуба у собак при пародонтите</t>
  </si>
  <si>
    <t>Санация ротовой полости</t>
  </si>
  <si>
    <t>Наложение стоматологического шва</t>
  </si>
  <si>
    <t>1 шов</t>
  </si>
  <si>
    <t>Стоматологический осмотр грызунов и зайцеобразных</t>
  </si>
  <si>
    <t>Обрезка клюва</t>
  </si>
  <si>
    <t>Полировка зубов</t>
  </si>
  <si>
    <t>- кошки, собаки мелких пород</t>
  </si>
  <si>
    <t>- собаки средних и крупных пород</t>
  </si>
  <si>
    <t>Обработка ран с наложением швов:</t>
  </si>
  <si>
    <t>1 рана</t>
  </si>
  <si>
    <t>-  до 5 см</t>
  </si>
  <si>
    <t>-  от 5 до 10 см</t>
  </si>
  <si>
    <t>- от  10  до 20 см</t>
  </si>
  <si>
    <t>- от 20 см</t>
  </si>
  <si>
    <t>Обработка кожного покрова с санацией раневой поверхности:</t>
  </si>
  <si>
    <t>- до 5 см</t>
  </si>
  <si>
    <t>- более 5 см</t>
  </si>
  <si>
    <t>Постановка дренажа</t>
  </si>
  <si>
    <t>Снятие швов с обработкой</t>
  </si>
  <si>
    <t>Область одного оперативного вмешательства</t>
  </si>
  <si>
    <t>Наложение бинтовой повязки</t>
  </si>
  <si>
    <t>1 повязка</t>
  </si>
  <si>
    <t>Наложение гипсовой повязки кошке</t>
  </si>
  <si>
    <t>Наложение гипсовой повязки собаке</t>
  </si>
  <si>
    <t>Снятие гипса</t>
  </si>
  <si>
    <t>Послеоперационная защита швов воротником:</t>
  </si>
  <si>
    <t>- кошка, мелкая собака до 5 кг</t>
  </si>
  <si>
    <t>- собака  от 5 до 15 кг</t>
  </si>
  <si>
    <t>- собака от 15 до 30 кг</t>
  </si>
  <si>
    <t>- собаки от 30 кг</t>
  </si>
  <si>
    <t>Послеоперационная защита швов бандажом:</t>
  </si>
  <si>
    <t>Цистоцентез (удаление жидкости  через прокол мочевого пузыря)</t>
  </si>
  <si>
    <t>Манипуляции на параанальных железах</t>
  </si>
  <si>
    <t xml:space="preserve">Катеризация мочевого пузыря </t>
  </si>
  <si>
    <t>Подшивание уретрального катетера</t>
  </si>
  <si>
    <t>Санация мочевого пузыря</t>
  </si>
  <si>
    <t xml:space="preserve">Уретростомия: </t>
  </si>
  <si>
    <t>- собаки</t>
  </si>
  <si>
    <t>Цистотомия:</t>
  </si>
  <si>
    <t>Удаление третьего века (экстирпация):</t>
  </si>
  <si>
    <t>Хирургическое лечение фолликулярного конъюнктивита</t>
  </si>
  <si>
    <t>Извлечение инородных тел из глаз (конъюнктивы)</t>
  </si>
  <si>
    <t>Субконъюнктивальная инъекция</t>
  </si>
  <si>
    <t>Вправление глазного яблока</t>
  </si>
  <si>
    <t>Энуклеация глазного яблока:</t>
  </si>
  <si>
    <t>Извлечение инородного тела из ротовой полости простое</t>
  </si>
  <si>
    <t xml:space="preserve">Региональная мастэктомия: </t>
  </si>
  <si>
    <t>- крупной собаки</t>
  </si>
  <si>
    <t>Унилатеральная мастэктомия:</t>
  </si>
  <si>
    <t>- ограниченные</t>
  </si>
  <si>
    <t>- обширные</t>
  </si>
  <si>
    <t>Удаление опухолей различной локализации и этиологии при полостных операциях</t>
  </si>
  <si>
    <t>Вскрытие абцессов, гематом, лимфоэкстравазатов</t>
  </si>
  <si>
    <t>Аспирация гематомы ушной раковины</t>
  </si>
  <si>
    <t>Прошивание гематомы ушной раковины</t>
  </si>
  <si>
    <t>Ампутация рудиментных фаланг в возрасте:</t>
  </si>
  <si>
    <t>1 фаланга</t>
  </si>
  <si>
    <t>- до 7 дней</t>
  </si>
  <si>
    <t>- от 8 до 30 дней</t>
  </si>
  <si>
    <t>- старше 30 дней</t>
  </si>
  <si>
    <t>Удаление фаланги пальца</t>
  </si>
  <si>
    <t xml:space="preserve">Ампутация конечности: </t>
  </si>
  <si>
    <t>1 конечность</t>
  </si>
  <si>
    <t>- кошки, собаки  до 5 кг</t>
  </si>
  <si>
    <t>- собаки от 5 до 15 кг</t>
  </si>
  <si>
    <t>- собаки от 15 кг</t>
  </si>
  <si>
    <t xml:space="preserve">Резекция ушных  раковин в возрасте: </t>
  </si>
  <si>
    <t xml:space="preserve">Ампутация хвоста </t>
  </si>
  <si>
    <t>Купирование хвостов в возрасте:</t>
  </si>
  <si>
    <t>- до 5 дней</t>
  </si>
  <si>
    <t>- от 5 до 10 дней</t>
  </si>
  <si>
    <t>- от 10 до 60 дней</t>
  </si>
  <si>
    <t>- старше 60 дней</t>
  </si>
  <si>
    <t xml:space="preserve">Грыжесечение: </t>
  </si>
  <si>
    <t>- пупочной грыжи</t>
  </si>
  <si>
    <t>- пупочной грыжи осложненной</t>
  </si>
  <si>
    <t>- паховой грыжи</t>
  </si>
  <si>
    <t>- паховой грыжи осложненной</t>
  </si>
  <si>
    <t>- промежностной грыжи</t>
  </si>
  <si>
    <t xml:space="preserve">Кастрация (с учетом стоимости наркоза): </t>
  </si>
  <si>
    <t>- кота-крипторха</t>
  </si>
  <si>
    <t>- кота, хорька, кролика</t>
  </si>
  <si>
    <t>- кобеля-крипторха</t>
  </si>
  <si>
    <t>- кобеля мелкой породы (до 5  кг)</t>
  </si>
  <si>
    <t>- кобеля средней породы (от 5 до 15 кг)</t>
  </si>
  <si>
    <t>- кобеля крупной породы (от 15 до 30 кг)</t>
  </si>
  <si>
    <t>- кобеля гигантской  породы (от 30 кг)</t>
  </si>
  <si>
    <t>Овариоэктомия (с учетом стоимости наркоза):</t>
  </si>
  <si>
    <t>- суки мелкой породы (до 5 кг)</t>
  </si>
  <si>
    <t>- суки средней породы (от 5 до 15 кг)</t>
  </si>
  <si>
    <t>- суки крупной породы (от 15 до 30 кг)</t>
  </si>
  <si>
    <t>- суки гигантской породы (от 30 кг)</t>
  </si>
  <si>
    <t>Удаление мускусных параанальных желез (хорек)</t>
  </si>
  <si>
    <t xml:space="preserve">Удаление матки(с учетом стоимости наркоза): </t>
  </si>
  <si>
    <t>- собаки мелкой породы (до 5 кг)</t>
  </si>
  <si>
    <t>- собаки средней породы (от 5 до 15 кг)</t>
  </si>
  <si>
    <t>- собаки крупной породы (от 15 до 30 кг)</t>
  </si>
  <si>
    <t>- собаки гигантской породы (от 30 кг)</t>
  </si>
  <si>
    <t xml:space="preserve">Вправление влагалища: </t>
  </si>
  <si>
    <t xml:space="preserve">Вправление матки: </t>
  </si>
  <si>
    <t xml:space="preserve">Операция при ущемлении полового члена: </t>
  </si>
  <si>
    <t>- кота</t>
  </si>
  <si>
    <t>- кобеля</t>
  </si>
  <si>
    <t xml:space="preserve">Операция при парафимозе животного </t>
  </si>
  <si>
    <t xml:space="preserve">Родовспоможение: </t>
  </si>
  <si>
    <t>- без осложнений</t>
  </si>
  <si>
    <t>- тяжелый случай</t>
  </si>
  <si>
    <t>Реанимация новорожденного щенка (котенка)</t>
  </si>
  <si>
    <t xml:space="preserve">Кесарево сечение: </t>
  </si>
  <si>
    <t>Операция на желудке и кишечнике (резекция, заворот, гастротомия, энтеротомия):</t>
  </si>
  <si>
    <t xml:space="preserve">- собаки </t>
  </si>
  <si>
    <t xml:space="preserve">Спленэктомия: </t>
  </si>
  <si>
    <t>- собаки мелких пород</t>
  </si>
  <si>
    <t>- собаки крупных пород</t>
  </si>
  <si>
    <t xml:space="preserve">Остеосинтез: </t>
  </si>
  <si>
    <t>Остеосинтез симфиза нижней челюсти</t>
  </si>
  <si>
    <t>Вправление вывихов</t>
  </si>
  <si>
    <t>Лазеротерапия</t>
  </si>
  <si>
    <t>1 сеанс</t>
  </si>
  <si>
    <t>Магнитотерапия</t>
  </si>
  <si>
    <t>Дарсонвализация</t>
  </si>
  <si>
    <t>Ультразвуковое исследование:</t>
  </si>
  <si>
    <t>- УЗИ одного органа</t>
  </si>
  <si>
    <t>- УЗИ брюшной полости</t>
  </si>
  <si>
    <t>- повторное УЗИ одного органа</t>
  </si>
  <si>
    <t>Люминисцентная диагностика микроспории (охотничьих трофеев)</t>
  </si>
  <si>
    <t>Глюкометрия</t>
  </si>
  <si>
    <t>Вскрытие трупов животных крупных</t>
  </si>
  <si>
    <t>1 животное</t>
  </si>
  <si>
    <t>Вскрытие трупов животных мелких</t>
  </si>
  <si>
    <t>Эвтаназия мелких домашних животных и птиц (осмотр, усыпление, упаковка, санитарная обработка рабочих мест) для последующей сдачи на утилизацию. Проводится исключительно в условиях клиник:</t>
  </si>
  <si>
    <t>- животное до 1  кг</t>
  </si>
  <si>
    <t>- животное от 1 до 7 кг</t>
  </si>
  <si>
    <t>- животное от 7 до 20 кг</t>
  </si>
  <si>
    <t>- животное от 20 до 30 кг</t>
  </si>
  <si>
    <t>- животное свыше 30 кг</t>
  </si>
  <si>
    <t>Уничтожение биологических отходов</t>
  </si>
  <si>
    <t>- мелкие  животные (крысы, хомяки и др.)</t>
  </si>
  <si>
    <t>- кошки и собаки мелких пород (до 10 кг)</t>
  </si>
  <si>
    <t>- собаки средних пород (от 10 до 30 кг)</t>
  </si>
  <si>
    <t>- собаки крупных пород (от 30 до 50 кг)</t>
  </si>
  <si>
    <t>- собаки свыше 50 кг</t>
  </si>
  <si>
    <t>- отходы в зависимости от веса</t>
  </si>
  <si>
    <t>1 килограмм</t>
  </si>
  <si>
    <t>Взятие смывов для бактериологического исследования с оборудования, помещений</t>
  </si>
  <si>
    <t>Услуги по дезинфекции:</t>
  </si>
  <si>
    <t>- пробег автомобиля ДУК</t>
  </si>
  <si>
    <t>1 километр</t>
  </si>
  <si>
    <t>- работа автомобиля ДУК</t>
  </si>
  <si>
    <t>1 час</t>
  </si>
  <si>
    <t>- простой автомобиля ДУК</t>
  </si>
  <si>
    <t>- обработка животноводческих помещений работниками ветстанций (без стоимости дезинфектанта)</t>
  </si>
  <si>
    <t>1 метр кв.</t>
  </si>
  <si>
    <t>- заправка дез. барьера при помощи автомобиля ДУК (без стоимости дезинфектанта)</t>
  </si>
  <si>
    <t>1 дез. барьер</t>
  </si>
  <si>
    <t>- заправка дез. коврика при помощи автомобиля ДУК (без стоимости дезинфектанта)</t>
  </si>
  <si>
    <t>1 дез. коврик</t>
  </si>
  <si>
    <t>Оксигенотерапия:</t>
  </si>
  <si>
    <t xml:space="preserve"> - продолжительность до 1 часа</t>
  </si>
  <si>
    <t>до 1 часа</t>
  </si>
  <si>
    <t xml:space="preserve"> - продолжительность до 4 часов</t>
  </si>
  <si>
    <t>до 4 часов</t>
  </si>
  <si>
    <t>Индивидуальная кремация животного:</t>
  </si>
  <si>
    <t>Стрижка животного "под машинку":</t>
  </si>
  <si>
    <t xml:space="preserve"> - до 4-х кг</t>
  </si>
  <si>
    <t xml:space="preserve"> - от 4-х кг до 25 кг</t>
  </si>
  <si>
    <t xml:space="preserve"> - более 25 кг</t>
  </si>
  <si>
    <t>Удаление свалявшихся комков шерсти (колтунов)</t>
  </si>
  <si>
    <t xml:space="preserve"> - единичные участки</t>
  </si>
  <si>
    <t>1 участок</t>
  </si>
  <si>
    <t xml:space="preserve"> - обширный участок</t>
  </si>
  <si>
    <t xml:space="preserve">Оформление и выдача выписки из истории болезни животного </t>
  </si>
  <si>
    <t>1 документ</t>
  </si>
  <si>
    <t>Вакцинация оральная против бешенства</t>
  </si>
  <si>
    <t>Ингаляция</t>
  </si>
  <si>
    <t>Эхокардиография</t>
  </si>
  <si>
    <t>Прием профильного специалиста</t>
  </si>
  <si>
    <t>Консультация по уходу, содержанию и кормлению животных</t>
  </si>
  <si>
    <t>10 минут</t>
  </si>
  <si>
    <t>Клинический осмотр с целью постановки диагноза</t>
  </si>
  <si>
    <t>Повторный клинический осмотр</t>
  </si>
  <si>
    <t>Общая диспансеризация лошадей с выдачей паспортов</t>
  </si>
  <si>
    <t>Общая диспансеризация  коров для выдачи паспортов или справок на разрешение продажи молока</t>
  </si>
  <si>
    <t>Клинический осмотр перед убоем для выдачи заключения о здоровье животного:</t>
  </si>
  <si>
    <t xml:space="preserve"> - перепела</t>
  </si>
  <si>
    <t xml:space="preserve"> - куры, утки, индейки и др.</t>
  </si>
  <si>
    <t>- крупный рогатый скот</t>
  </si>
  <si>
    <t>- свиньи</t>
  </si>
  <si>
    <t>- мелкий рогатый скот</t>
  </si>
  <si>
    <t xml:space="preserve"> - кролик</t>
  </si>
  <si>
    <t>Вакцинация кроликов</t>
  </si>
  <si>
    <t>10 голов</t>
  </si>
  <si>
    <t>Вакцинация лошадей</t>
  </si>
  <si>
    <t>Диагностические аллергические исследования сельскохозяйственных животных с проведением клинического осмотра</t>
  </si>
  <si>
    <t>Подкожные и внутримышечные инъекции</t>
  </si>
  <si>
    <t>Внутривенные инъекции</t>
  </si>
  <si>
    <t>Пероральное введение лекарственных средств</t>
  </si>
  <si>
    <t>Ректальное введение растворов</t>
  </si>
  <si>
    <t>Фиксация животных ветеринарными специалистами при ветеринарных обработках</t>
  </si>
  <si>
    <t>Внутриматочное введение лекарственных средств</t>
  </si>
  <si>
    <t xml:space="preserve">1 введение </t>
  </si>
  <si>
    <t>Внутрицисцинальное введение лекарственных средств</t>
  </si>
  <si>
    <t>Руминоцентез рубца</t>
  </si>
  <si>
    <t>Внутрибрюшное введение лекарственных средств</t>
  </si>
  <si>
    <t>Ректальное  исследование на стельность</t>
  </si>
  <si>
    <t>Гинекологическое исследование</t>
  </si>
  <si>
    <t>Родовспоможение</t>
  </si>
  <si>
    <t>Родовспоможение с осложнением</t>
  </si>
  <si>
    <t>Родовспоможение (мелкий рогатый скот)</t>
  </si>
  <si>
    <t xml:space="preserve">Помощь при выпадении матки: </t>
  </si>
  <si>
    <t>- другие животные</t>
  </si>
  <si>
    <t>Лечение родильного пареза</t>
  </si>
  <si>
    <t xml:space="preserve">Отделение последа: </t>
  </si>
  <si>
    <t xml:space="preserve">Взятие проб  слизи из препуциального мешка  и влагалища для бактериологического исследования: </t>
  </si>
  <si>
    <t>- крупный рогатый скот, лошади</t>
  </si>
  <si>
    <t>Исследование на мастит</t>
  </si>
  <si>
    <t>Зондирование для введения лекарственных веществ</t>
  </si>
  <si>
    <t>Обрезка рогов</t>
  </si>
  <si>
    <t>Обработка копыт</t>
  </si>
  <si>
    <t xml:space="preserve">Наложение швов: </t>
  </si>
  <si>
    <t>- поверхностная рана</t>
  </si>
  <si>
    <t>- глубокая рана</t>
  </si>
  <si>
    <t>Обработка поверхностных ран</t>
  </si>
  <si>
    <t>Обработка глубоких ран</t>
  </si>
  <si>
    <t xml:space="preserve">Взятие крови: </t>
  </si>
  <si>
    <t>- птицы</t>
  </si>
  <si>
    <t>- другие виды</t>
  </si>
  <si>
    <t>Массаж матки</t>
  </si>
  <si>
    <t>Удаление кист и персистентного желтого тела</t>
  </si>
  <si>
    <t>Удаление клыков новорожденным поросятам</t>
  </si>
  <si>
    <t>Вскрытие гематом, абцессов, лимфоэкстравазатов</t>
  </si>
  <si>
    <t>Оперативное лечение грыжи паховой</t>
  </si>
  <si>
    <t>Оперативное лечение грыжи пупочной</t>
  </si>
  <si>
    <t>Кастрация хряка, барана, козла в возрасте до 2-х месяцев</t>
  </si>
  <si>
    <t>Кастрация хряка, барана, козла, бычка  в возрасте от 2-х до 4-х месяцев</t>
  </si>
  <si>
    <t>Кастрация хряка в возрасте от 4-х до 6-ти месяцев</t>
  </si>
  <si>
    <t>Кастрация хряка в возрасте от 6-ти месяцев и старше</t>
  </si>
  <si>
    <t>Кастрация жеребца</t>
  </si>
  <si>
    <t xml:space="preserve">Обработка  против эктопаразитов: </t>
  </si>
  <si>
    <t>- крупный рогатый скот, лошади, олени</t>
  </si>
  <si>
    <t>- мелкий рогатый скот, свиньи</t>
  </si>
  <si>
    <t xml:space="preserve">Обработка против эндопаразитов: </t>
  </si>
  <si>
    <t>- кролики, птицы</t>
  </si>
  <si>
    <t>Вскрытие павших животных с оформлением протокола вскрытия и отбора проб патологического материала:</t>
  </si>
  <si>
    <t>- крупный  рогатый скот, лошади</t>
  </si>
  <si>
    <t>- другие виды животных</t>
  </si>
  <si>
    <t>Выезд ветеринарного врача на дом (без учета услуги):</t>
  </si>
  <si>
    <t>- на расстояние до 20 км</t>
  </si>
  <si>
    <t>- на расстояние от 20 до 50  км</t>
  </si>
  <si>
    <t>- на расстояние от 50 до 100  км</t>
  </si>
  <si>
    <t>- на расстояние от 100  км</t>
  </si>
  <si>
    <t>Выезд ветеринарного врача на транспорте владельца (без учета услуги)</t>
  </si>
  <si>
    <t>1 час работы</t>
  </si>
  <si>
    <t xml:space="preserve">Определение ветеринарно-санитарного состояния (проведение клинического осмотра) партии продуктивных животных, принадлежащих одному физическому или юридическому лицу, при перевозке и реализации: </t>
  </si>
  <si>
    <t>- до 5 голов</t>
  </si>
  <si>
    <t>- свыше 5 голов за каждую последующую голову</t>
  </si>
  <si>
    <t>Вдевание носовых колец</t>
  </si>
  <si>
    <t xml:space="preserve">Введение электронного чипа </t>
  </si>
  <si>
    <t>Отбор проб кала для гельминтологического исследования</t>
  </si>
  <si>
    <t>Биркование</t>
  </si>
  <si>
    <t>Клинический осмотр для выдачи заключения о здоровье животных</t>
  </si>
  <si>
    <t>Обезроживание телят и козлят с применением электрического термокаутера</t>
  </si>
  <si>
    <t>Искусственное осеменение крупного рогатого скота</t>
  </si>
  <si>
    <t>Ветеринарно-санитарная экспертиза с клеймением:</t>
  </si>
  <si>
    <t>1 туша</t>
  </si>
  <si>
    <t>- говядина</t>
  </si>
  <si>
    <t>- лосятина, конина</t>
  </si>
  <si>
    <t>- свинина, дикий кабан,  барсук</t>
  </si>
  <si>
    <t>- баран</t>
  </si>
  <si>
    <t>Ветеринарно-санитарная экспертиза, паразитологическое исследование с клеймением - медвежатина</t>
  </si>
  <si>
    <t>1 тушка</t>
  </si>
  <si>
    <t xml:space="preserve"> - кролики, нутрии</t>
  </si>
  <si>
    <t xml:space="preserve"> - кролики, нутрии (партия от 20 до 40 тушек)</t>
  </si>
  <si>
    <t xml:space="preserve"> - кролики, нутрии (партия от 41 до 60 тушек)</t>
  </si>
  <si>
    <t xml:space="preserve"> - кролики, нутрии (партия от 61 до 80 тушек)</t>
  </si>
  <si>
    <t xml:space="preserve"> - кролики, нутрии (партия от 81 до 100 тушек)</t>
  </si>
  <si>
    <t xml:space="preserve"> - кролики, нутрии (партия более 100 тушек)</t>
  </si>
  <si>
    <t>- перепела</t>
  </si>
  <si>
    <t>- куры, утки, гуси, индейки и др.</t>
  </si>
  <si>
    <t xml:space="preserve"> - органолептические показатели</t>
  </si>
  <si>
    <t xml:space="preserve"> - диастазное число</t>
  </si>
  <si>
    <t xml:space="preserve"> - механические примеси </t>
  </si>
  <si>
    <t xml:space="preserve"> - массовая доля воды</t>
  </si>
  <si>
    <t xml:space="preserve"> - оксиметилфурфурол</t>
  </si>
  <si>
    <t xml:space="preserve"> - другие фальсификации: мука, крахмал, патока</t>
  </si>
  <si>
    <t xml:space="preserve"> - сахароза</t>
  </si>
  <si>
    <t>Ветеринарно-санитарная экспертиза овощей, фруктов, бахчевых, ягод, орехов, грибов</t>
  </si>
  <si>
    <t>до 50 кг</t>
  </si>
  <si>
    <t>от 50 до 150 кг</t>
  </si>
  <si>
    <t>более 150 кг</t>
  </si>
  <si>
    <t>Ветеринарно-санитарная экспертиза живой и охлажденной рыбы при поступлении в розничную торговую сеть</t>
  </si>
  <si>
    <t>Ветеринарно-санитарная экспертиза молока непромышленного изготовления (аппарат «Лактан», «Клевер»)</t>
  </si>
  <si>
    <t>Выезд передвижной лаборатории для проведения ветеринарно-санитарной экспертизы в черте города (без учета услуги)</t>
  </si>
  <si>
    <t>Выезд передвижной лаборатории для проведения ветеринарно-санитарной экспертизы за пределы городского округа (без учета услуги)</t>
  </si>
  <si>
    <t>Взятие  проб шкур на асколизацию (сибирская язва)</t>
  </si>
  <si>
    <t>Осмотр и клеймение кожевенного сырья</t>
  </si>
  <si>
    <t>1 партия до 50 ед.</t>
  </si>
  <si>
    <t>Ветеринарно-санитарное обследование объектов, производственных помещений на соответствие  их ветеринарно-санитарным требованиям и нормам (по заявлению хозяйствующих субъектов):</t>
  </si>
  <si>
    <t>1 объект</t>
  </si>
  <si>
    <t>- перерабатывающее предприятие</t>
  </si>
  <si>
    <t>- предприятие по хранению и реализации продукции (оптовая база)</t>
  </si>
  <si>
    <t>- объекты по разведению, выращиванию, содержанию животных</t>
  </si>
  <si>
    <t>- рыбоводное хозяйство (1 участок)</t>
  </si>
  <si>
    <t>- рыбоводное хозяйство (2 и более участков)</t>
  </si>
  <si>
    <t>- объекты торговли (магазины)</t>
  </si>
  <si>
    <t>- объекты торговли (киоск, торговое место)</t>
  </si>
  <si>
    <t>Ветеринарно-санитарное обследование пчелопасек</t>
  </si>
  <si>
    <t>Оформление паспорта пчелопасеки</t>
  </si>
  <si>
    <t>1 паспорт</t>
  </si>
  <si>
    <t>Отбор проб кормов:</t>
  </si>
  <si>
    <t>- для рыб (для лабораторного исследования ПЦР и ГМО)</t>
  </si>
  <si>
    <t>- других</t>
  </si>
  <si>
    <t>Оценка безопасности качества грузов в ветеринарном отношении при поступлении на хранение и реализацию в розничную торговую сеть</t>
  </si>
  <si>
    <t>Оценка безопасности сырого молока</t>
  </si>
  <si>
    <t>Ветеринарно-санитарная экспертиза биологических отходов, подлежащих обеззараживанию (уничтожению)</t>
  </si>
  <si>
    <t xml:space="preserve">Ветеринарное обслуживание: </t>
  </si>
  <si>
    <t>1 час работы специалиста</t>
  </si>
  <si>
    <t>Проведение оценки соответствия продуктов животного происхождения, кормов и кормовых добавок, технического, пушно-мехового сырья, биологических отходов, процессов производства, хранения, перемещения установленным ветеринарным (ветеринарно-санитарным) требованиям и нормам; проведение ветеринарно-санитарной экспертизы продукции животного происхождения в целях определения пригодности к использованию для пищевых целей</t>
  </si>
  <si>
    <t>Ведение журнала продукции в федеральной государственной информационной системе (ФГИС)</t>
  </si>
  <si>
    <t>1 запись</t>
  </si>
  <si>
    <t>Печать ветеринарно-сопроводительного документа, оформленного в  федеральной государственной информационной системе (ФГИС), на бумажном носителе</t>
  </si>
  <si>
    <t>Печать ветеринарно-сопроводительного документа, оформленного в  федеральной государственной информационной системе (ФГИС), на бумажном носителе защищенного бланка с голографической наклейкой</t>
  </si>
  <si>
    <t xml:space="preserve">Выдача заключений о результатах ветеринарно-санитарной экспертизе </t>
  </si>
  <si>
    <t>Оформление и выдача справки об эпизоотическом благополучии хозяйства</t>
  </si>
  <si>
    <t>Подтверждение эпизоотического благополучия мест выхода (происхождения/отгрузки) подконтрольных товаров</t>
  </si>
  <si>
    <t>Транспортировка биологических отходов</t>
  </si>
  <si>
    <t>1 км</t>
  </si>
  <si>
    <t>Отбор проб продукции с выпиской сопроводительных документов</t>
  </si>
  <si>
    <t xml:space="preserve"> 1 выезд</t>
  </si>
  <si>
    <t xml:space="preserve"> - в пределах рабочего времени</t>
  </si>
  <si>
    <t xml:space="preserve"> - за пределами рабочего времени</t>
  </si>
  <si>
    <t xml:space="preserve"> - за пределами рабочего времени в ночное время</t>
  </si>
  <si>
    <t xml:space="preserve"> - в выходные и праздничные дни</t>
  </si>
  <si>
    <t xml:space="preserve"> - в ночное время выходные и праздничные дни</t>
  </si>
  <si>
    <t>1 партия
от 50 до 100 ед.</t>
  </si>
  <si>
    <t>1 партия
свыше 100 ед.</t>
  </si>
  <si>
    <t>1 партия / 1 месяц</t>
  </si>
  <si>
    <t xml:space="preserve"> - лошади</t>
  </si>
  <si>
    <t xml:space="preserve"> - крупный рогатый скот</t>
  </si>
  <si>
    <t xml:space="preserve"> - свиньи</t>
  </si>
  <si>
    <t xml:space="preserve"> - мелкий рогатый скот</t>
  </si>
  <si>
    <t xml:space="preserve"> - собаки крупной породы (от 15 до 30 кг)</t>
  </si>
  <si>
    <t xml:space="preserve"> - кошки</t>
  </si>
  <si>
    <t xml:space="preserve"> - собаки мелкой породы  (до 5 кг)</t>
  </si>
  <si>
    <t xml:space="preserve"> - собаки средней породы (от 5 до 15 кг)</t>
  </si>
  <si>
    <t xml:space="preserve"> - собаки гигантской породы (от 30 кг)</t>
  </si>
  <si>
    <t xml:space="preserve"> - до 10 дней</t>
  </si>
  <si>
    <t xml:space="preserve"> - от 10 дней до 3 месяцев</t>
  </si>
  <si>
    <t xml:space="preserve"> - старше 3 месяцев</t>
  </si>
  <si>
    <t xml:space="preserve"> - крупной собаки </t>
  </si>
  <si>
    <t xml:space="preserve"> - кошки, собаки мелких пород</t>
  </si>
  <si>
    <t xml:space="preserve">    - от чумы плотоядных, парвовирусного энтерита, аденовируского гепатита, лептоспироза</t>
  </si>
  <si>
    <t xml:space="preserve"> - животное до 12 кг без наркоза</t>
  </si>
  <si>
    <t xml:space="preserve"> - животное свыше  12 кг без наркоза </t>
  </si>
  <si>
    <t xml:space="preserve"> - животное до 12 кг с наркозом</t>
  </si>
  <si>
    <t xml:space="preserve"> - животное свыше 12 кг с наркозом </t>
  </si>
  <si>
    <t xml:space="preserve"> - кошек отечественными препаратами</t>
  </si>
  <si>
    <t xml:space="preserve"> - кошек импортными препаратами</t>
  </si>
  <si>
    <t xml:space="preserve"> - собак  до 10 кг отечественными препаратами</t>
  </si>
  <si>
    <t xml:space="preserve"> - собак от 10 до 20 кг отечественными препаратами</t>
  </si>
  <si>
    <t xml:space="preserve"> - собак от 20 до 30 кг отечественными препаратами</t>
  </si>
  <si>
    <t xml:space="preserve"> - собак свыше 30 кг отечественными препаратами</t>
  </si>
  <si>
    <t xml:space="preserve"> - собак до 10 кг импортными препаратами</t>
  </si>
  <si>
    <t xml:space="preserve"> - собак от 10 до 20 кг импортными препаратами</t>
  </si>
  <si>
    <t xml:space="preserve"> - собак от 20 до 40 кг импортными препаратами</t>
  </si>
  <si>
    <t xml:space="preserve"> - собак от  40 до 60 кг импортными препаратами</t>
  </si>
  <si>
    <t>Общий анализ крови</t>
  </si>
  <si>
    <t>Аспартатаминотрансфераза (АСТ)</t>
  </si>
  <si>
    <t>Аланинаминотрансфераза (АЛТ)</t>
  </si>
  <si>
    <t>Билирубин общий</t>
  </si>
  <si>
    <t>Билирубин прямой</t>
  </si>
  <si>
    <t>Креатинин</t>
  </si>
  <si>
    <t>Мочевина</t>
  </si>
  <si>
    <t>Мочевая кислота</t>
  </si>
  <si>
    <t>Лактатдегидрогеназа</t>
  </si>
  <si>
    <t>Креатинфосфокеназа</t>
  </si>
  <si>
    <t>Холестерин</t>
  </si>
  <si>
    <t>Триглицериды</t>
  </si>
  <si>
    <t>Альфа-амилаза (диастаза) сыворотки крови</t>
  </si>
  <si>
    <t>Гамма-глютпминтрансфераза</t>
  </si>
  <si>
    <t>Липаза</t>
  </si>
  <si>
    <t>Альбумин сыворотки крови</t>
  </si>
  <si>
    <t>Щелочная фосфотаза общая</t>
  </si>
  <si>
    <t>Глюкоза сыворотки крови</t>
  </si>
  <si>
    <t>Хлориды</t>
  </si>
  <si>
    <t>Магний сыворотки крови</t>
  </si>
  <si>
    <t>Фосфор сыворотки крови</t>
  </si>
  <si>
    <t>Железо</t>
  </si>
  <si>
    <t>Кальций сыворотки крови</t>
  </si>
  <si>
    <t>Калий</t>
  </si>
  <si>
    <t>Натрий</t>
  </si>
  <si>
    <t>Альфа-амилаза панкреатическая</t>
  </si>
  <si>
    <t>Липидограмма</t>
  </si>
  <si>
    <t>Медь</t>
  </si>
  <si>
    <t>Риноцитограмма</t>
  </si>
  <si>
    <t>Клиническое исследование мокроты с окраской на эозинофилы</t>
  </si>
  <si>
    <t>Цитологическое исследование</t>
  </si>
  <si>
    <t>Цитологическое исследование жидкостей</t>
  </si>
  <si>
    <t>Гистологическое исследование</t>
  </si>
  <si>
    <t>Определение пола птиц</t>
  </si>
  <si>
    <t>Мозжечковая атаксия собак</t>
  </si>
  <si>
    <t>Campilobacter jejuni</t>
  </si>
  <si>
    <t>Yersinia enterocolitica</t>
  </si>
  <si>
    <t>Clostridium difficile, a,b-токсины</t>
  </si>
  <si>
    <t>Yersinia pseudotuberculosis</t>
  </si>
  <si>
    <t>Helicobacter pilori</t>
  </si>
  <si>
    <t>Chlamidia trachomatis</t>
  </si>
  <si>
    <t>Chlamydophila psittaci (орнитоз/хламидия пситаци)</t>
  </si>
  <si>
    <t>Mycoplasma haemofelis (гемобартеннелез кошек)</t>
  </si>
  <si>
    <t>Ureaplasma spp./ Уреаплазма</t>
  </si>
  <si>
    <t>Mycoplasma /Микоплазмоз</t>
  </si>
  <si>
    <t>Streptococcus CG (стрептококкоз) с типированием</t>
  </si>
  <si>
    <t>Stapilococcus aureus/ Золотистый стафилококк</t>
  </si>
  <si>
    <t>Bordetella bronchiseptica (бордетеллез)</t>
  </si>
  <si>
    <t>Borrelia burgdorferi (боррелиоз)</t>
  </si>
  <si>
    <t>Brucella spp. (бруцеллез)</t>
  </si>
  <si>
    <t>Лептоспироз</t>
  </si>
  <si>
    <t>Mycoplasma hominis</t>
  </si>
  <si>
    <t>Klebsiella pneumoniae</t>
  </si>
  <si>
    <t>Streptococcus agalactiae (бета- гемолитический стрептококк группы В)</t>
  </si>
  <si>
    <t>Streptococcus pneumoniae</t>
  </si>
  <si>
    <t>Pseudomonas aerogenosa (Синегнойная палочка)</t>
  </si>
  <si>
    <t>Clostridium perfringens (Клостридиальная инфекция)</t>
  </si>
  <si>
    <t>Mycoplasma cynos (микоплазмоз)</t>
  </si>
  <si>
    <t>Chlomydophila felis (хламидиоз)</t>
  </si>
  <si>
    <t>Shigella spp.</t>
  </si>
  <si>
    <t>Cryptosporidum spp.</t>
  </si>
  <si>
    <t>HSV I, II типы/ вирус простого герпеса</t>
  </si>
  <si>
    <t>FHV/ герпес вирус кошек (герпетический ринотрахеит)</t>
  </si>
  <si>
    <t>Feline panleucopenia virus (панлейкопения кошек)</t>
  </si>
  <si>
    <t>FIV (иммунодефицит)</t>
  </si>
  <si>
    <t>FeLV (лейкемия)</t>
  </si>
  <si>
    <t>Калицивирус (калицивироз)</t>
  </si>
  <si>
    <t>Коронавирус FECV (энтерит)</t>
  </si>
  <si>
    <t>Коронавирус FIPV (инфекционный перитонит)</t>
  </si>
  <si>
    <t>Canine parvovirus (парвовирусный энтерит)</t>
  </si>
  <si>
    <t>Аденовирус I тип (инфекционный гепатит)</t>
  </si>
  <si>
    <t>Аденовирус II тип (инфекционный ларинготрахеит)</t>
  </si>
  <si>
    <t>CHV/Герпес вирус собак (герпетическая инфекция собак)</t>
  </si>
  <si>
    <t>Ротавирус - типы А,В,С/энтерит</t>
  </si>
  <si>
    <t>Типирование Herpes simplex virus I, II  /вирус простого герпеса 1,2 типов</t>
  </si>
  <si>
    <t>Human influenza virus A (Вирус гриппа тип А)</t>
  </si>
  <si>
    <t>Human influenza virus В (Вирус гриппа тип В)</t>
  </si>
  <si>
    <t>Adenovirus I,II (Аденовирус I и II типы)</t>
  </si>
  <si>
    <t>Felina leukemia virus (вирус лейкемии кошек)</t>
  </si>
  <si>
    <t>Felina immunodificiency virus (вирус иммунодефицита кошек)</t>
  </si>
  <si>
    <t>Felina herpes virus (вирус герпеса кошек)</t>
  </si>
  <si>
    <t>Felina calicivirus (калицивироз кошек)</t>
  </si>
  <si>
    <t>Felina coronavirus (вирус инфекционного перитонита кошек)</t>
  </si>
  <si>
    <t>Canine herpes virus (вирус герпеса собак)</t>
  </si>
  <si>
    <t>Canine coronavirus (коронавирусный энтерит собак)</t>
  </si>
  <si>
    <t>Streptococcus pyogenes (бета-гемолитический стрептококк группы А)</t>
  </si>
  <si>
    <t>Hуrpes simplex virus I типа (стом)</t>
  </si>
  <si>
    <t>Lamblia intestinalis Gardia (лямблия)</t>
  </si>
  <si>
    <t>Dirofilaria immitis (дирофиляриоз)</t>
  </si>
  <si>
    <t>Entamoeba Histolitica (энтомеба хистолитика)</t>
  </si>
  <si>
    <t>Criptosporidum parvus</t>
  </si>
  <si>
    <t>Toxoplasma gondii</t>
  </si>
  <si>
    <t>Toxocara mystax, canis (токсокароз)</t>
  </si>
  <si>
    <t>Diphylobotrium latum (дифиллоботриоЗ)</t>
  </si>
  <si>
    <t>Babesia spp. (пироплазмоз)</t>
  </si>
  <si>
    <t>Blastocystis hominis</t>
  </si>
  <si>
    <t>Dientamoeba fragilis (Диентамеба фрагилис)</t>
  </si>
  <si>
    <t>Isospora spp. (изоспороз)</t>
  </si>
  <si>
    <t>Candida albicans / Дрожжеподобные грибы рода Кандидос</t>
  </si>
  <si>
    <t>Грибы рода Trichophiton</t>
  </si>
  <si>
    <t>Грибы рода Microsporum</t>
  </si>
  <si>
    <t>Дрожжеподобные грибы рода Malassezia</t>
  </si>
  <si>
    <t>Микроскопическое исследование шерсти, соскобов с кожи на грибы</t>
  </si>
  <si>
    <t>Тестостерон</t>
  </si>
  <si>
    <t>Прогестерон</t>
  </si>
  <si>
    <t>Трийодтиронин общий (Т3 общ)</t>
  </si>
  <si>
    <t>Эстрадиол (Е2)</t>
  </si>
  <si>
    <t>Тироксин свободный (Т4св)</t>
  </si>
  <si>
    <t>Тироксин общий (Т4 общ)</t>
  </si>
  <si>
    <t>Тиреотропный гормон (ТТГ)</t>
  </si>
  <si>
    <t>Трийодтиронин свободный (Т3 св)</t>
  </si>
  <si>
    <t>Андростендион (А4)</t>
  </si>
  <si>
    <t>17-Гидроксипрогестерон/ 17-ОН прогестерон, нмоль/л</t>
  </si>
  <si>
    <t xml:space="preserve">Кортизол </t>
  </si>
  <si>
    <t xml:space="preserve">Антитела к лептоспире общие (микроагглютинация)IgG </t>
  </si>
  <si>
    <t>IgG антитела к хламидии (C.hcitaci, C.abortus - у собак, C.felis -у кошек)</t>
  </si>
  <si>
    <t>ИФА тест на выявление антигена коронавирусного перитонита кошек</t>
  </si>
  <si>
    <t>IgG антитела к токсоплазме</t>
  </si>
  <si>
    <t>IgG антитела к микоплазме (M.cynos - у собак, M.felis, M.gatae -у кошек)</t>
  </si>
  <si>
    <t>ИФА-тест на выявление IgG коронавирусного перитонита кошек</t>
  </si>
  <si>
    <t>I-тест на инфекционный перитонит кошек</t>
  </si>
  <si>
    <t xml:space="preserve">Тимофеевка луговая </t>
  </si>
  <si>
    <t>Микст-аллерген луговых трав</t>
  </si>
  <si>
    <t>Микст-аллерген сорных трав и подсолнечника</t>
  </si>
  <si>
    <t>Травы - бухарник шерстистый, ежа сборная, райграс, тимофеевка луговая, мятлик луговой, овсянница луговая</t>
  </si>
  <si>
    <t>Крупа рисовая</t>
  </si>
  <si>
    <t>Мука овсяная</t>
  </si>
  <si>
    <t>Молоко коровье</t>
  </si>
  <si>
    <t>Крупа гречневая</t>
  </si>
  <si>
    <t>Мясо курица</t>
  </si>
  <si>
    <t>Мясо баранина</t>
  </si>
  <si>
    <t>Яйцо куриное цельное</t>
  </si>
  <si>
    <t>Мука пшеничная</t>
  </si>
  <si>
    <t>Картофель</t>
  </si>
  <si>
    <t>Помидор/томат</t>
  </si>
  <si>
    <t>Мука кукурузная</t>
  </si>
  <si>
    <t>Мясо свинина</t>
  </si>
  <si>
    <t>Мясо говядина</t>
  </si>
  <si>
    <t>Яблоко</t>
  </si>
  <si>
    <t>Клещ домашний пыли Птерониссинус</t>
  </si>
  <si>
    <t>Эпителий кошка</t>
  </si>
  <si>
    <t>Пыль домашняя</t>
  </si>
  <si>
    <t>Клещ домашней пыли Фарина</t>
  </si>
  <si>
    <t>Волос человека</t>
  </si>
  <si>
    <t>Aspergillus fumgatus</t>
  </si>
  <si>
    <t>Penicillium notatum</t>
  </si>
  <si>
    <t>Микст-аллерген пыльцы деревьев</t>
  </si>
  <si>
    <t>Шоколад</t>
  </si>
  <si>
    <t>Рыба горбуша</t>
  </si>
  <si>
    <t>Рыба карп</t>
  </si>
  <si>
    <t>Рыба лещ</t>
  </si>
  <si>
    <t>Рыба лосось</t>
  </si>
  <si>
    <t>Рыба минтай</t>
  </si>
  <si>
    <t>Рыба окунь</t>
  </si>
  <si>
    <t>Рыба палтус</t>
  </si>
  <si>
    <t>Рыба сазан</t>
  </si>
  <si>
    <t>Рыба сардины</t>
  </si>
  <si>
    <t>Рыба сельдь</t>
  </si>
  <si>
    <t>Рыба семга</t>
  </si>
  <si>
    <t>Рыба скумбрия</t>
  </si>
  <si>
    <t>Рыба судак</t>
  </si>
  <si>
    <t>Рыба треска</t>
  </si>
  <si>
    <t>Рыба тунец</t>
  </si>
  <si>
    <t>Рыба форель</t>
  </si>
  <si>
    <t>Рыба хек</t>
  </si>
  <si>
    <t xml:space="preserve"> Рыба щука</t>
  </si>
  <si>
    <t>Соя</t>
  </si>
  <si>
    <t>Дисбактериоз кишечника развернутый с подбором антибиотиков, бактериофагов, пробиотических и микробиотических препаратов</t>
  </si>
  <si>
    <t>Дисбактериоз кишечника  с подбором антибиотиков и бактериофагов</t>
  </si>
  <si>
    <t>УПФ с антибиотиками и бактериофагами</t>
  </si>
  <si>
    <t>УПФ полный</t>
  </si>
  <si>
    <t>УПФ с антибиотиками и антисептиками</t>
  </si>
  <si>
    <t>УПФ с антибиотиками и уросептиками</t>
  </si>
  <si>
    <t>Посев на УПФ биологических жидкостей, мазков и соскобов с подбором антибиотиков и бактериофагов</t>
  </si>
  <si>
    <t>Посев на УПФ биологических жидкостей, мазков и соскобов с подбором уросептиков и бактериофагов</t>
  </si>
  <si>
    <t>Посев на УПФ биологических жидкостей, мазков и соскобов с подбором антибиотиков и уросептиков</t>
  </si>
  <si>
    <t>Посев на УПФ биологических жидкостей, мазков и соскобов с подбором антибиотиков и антисептиков</t>
  </si>
  <si>
    <t>Посев кала на УПФ с подбором антибиотиков и бактериофагов</t>
  </si>
  <si>
    <t>Посев кала на УПФ с подбором уросептиков и бактериофагов</t>
  </si>
  <si>
    <t>Посев кала на УПФ с подбором уросептиков и антибиотиков</t>
  </si>
  <si>
    <t>Посев кала на УПФ с подбором антибиотиков, бактериофагов, пробиотиков и антимикробных препаратов</t>
  </si>
  <si>
    <t>Комплексное исследование кошек на возбудителей конъюнктивита</t>
  </si>
  <si>
    <t>Комплексное исследование кошек на возбудителей острых кишечных инфекций</t>
  </si>
  <si>
    <t>Комплексное исследование кошек на возбудителей респираторных инфекций</t>
  </si>
  <si>
    <t>Комплексное исследование кошек на возбудителей урогенитальных инфекций</t>
  </si>
  <si>
    <t>Комплексное исследование собак на возбудителей конъюнктивита</t>
  </si>
  <si>
    <t>Комплексное исследование собак на возбудителей острых кишечных инфекций</t>
  </si>
  <si>
    <t>Комплексное исследование собак на возбудителей респираторных инфекций</t>
  </si>
  <si>
    <t>Комплексное исследование собак на возбудителей урогенитальных инфекций</t>
  </si>
  <si>
    <t>Комплексное исследование на возбудителей дерматомикозов методом ПЦР</t>
  </si>
  <si>
    <t>Исследование мочи экспресс-методом</t>
  </si>
  <si>
    <t>Цитологическое исследование мазка с кожи (ушей) непродуктивного животного</t>
  </si>
  <si>
    <t>Копрограмма</t>
  </si>
  <si>
    <t>Исследование кала на скрытую кровь, иммунохроматографический метод</t>
  </si>
  <si>
    <t>Исследование кала на скрытую кровь, бензидиновая проба</t>
  </si>
  <si>
    <t>Исследование на лейкоз (РИД)</t>
  </si>
  <si>
    <t>Исследование на хламидиоз (РСК)</t>
  </si>
  <si>
    <t>Исследование на лептоспироз (РМА)</t>
  </si>
  <si>
    <t>Исследование на листериоз (РСК)</t>
  </si>
  <si>
    <t>Исследование ИНАН</t>
  </si>
  <si>
    <t>Исследование на случную болезнь</t>
  </si>
  <si>
    <t>Исследование кал на я/г</t>
  </si>
  <si>
    <t>Хламидиоз РСК (непродуктивного животного)</t>
  </si>
  <si>
    <t>Анализ крови клинический</t>
  </si>
  <si>
    <t>Анализ мочи общий</t>
  </si>
  <si>
    <t>Лептоспироз РМА (непродуктивного животного)</t>
  </si>
  <si>
    <t>Определение ветеринарно-санитарного состояния  животного, включая проведение клинического осмотра и изучение ветеринарных документов при перевозке и реализации</t>
  </si>
  <si>
    <t>Мультикан-8</t>
  </si>
  <si>
    <t>Мультифел-4</t>
  </si>
  <si>
    <t>Размещение информации о идентификации  животного в базе данных AnimalFace</t>
  </si>
  <si>
    <t>Сканирование идентификационного номера и экспертиза ветеринарного паспорта</t>
  </si>
  <si>
    <t xml:space="preserve">Диагностическая лапаротомия: </t>
  </si>
  <si>
    <t>Удаление опухолей различной локализации и этиологии при неполосных операциях</t>
  </si>
  <si>
    <t>УРО-посев урогенитального тракта на УПФ с подбором антибиотиков, антисептиков и бактериофагов</t>
  </si>
  <si>
    <t>Услуги ветеринарной лаборатории</t>
  </si>
  <si>
    <t>Условия изменения цены</t>
  </si>
  <si>
    <t>ПРЕЙСКУРАНТ</t>
  </si>
  <si>
    <t>Государственного бюджетного учреждения Республики Карелия</t>
  </si>
  <si>
    <t>"Республиканский центр ветеринарии и консультирования"</t>
  </si>
  <si>
    <t>2. Стоимость дополнительных платных услуг, не вошедших в прейскурант, учитываются за фактически затраченное время, а для лабораторных исследований - определяется дополнительно на основании расчета, произведенного после доставки материала в лабораторию.</t>
  </si>
  <si>
    <t>1. Стоимость скидки участникам ВОВ и других боевых действий, инвалидам 1 и 2 группы, малолетним узникам концлагерей по оказанию лечебной помощи, ветеринарно-санитарной экспертизы животного для оформления ветеринарных сопроводительных документов составляет 10% от прейскуранта (при предъявлении удостоверения).</t>
  </si>
  <si>
    <t>Услуги ветеринарной лаборатории:</t>
  </si>
  <si>
    <t>Услуги ветеринарных станций, участков, пунктов</t>
  </si>
  <si>
    <t>Услуги ветеринарных станций, участков, пунктов:</t>
  </si>
  <si>
    <t>4. При оформление дубликата экспертной карточки, протокола и т.д. дополнительно оплачивается 50 руб.</t>
  </si>
  <si>
    <t>1. Непродуктивные животные</t>
  </si>
  <si>
    <t xml:space="preserve">1.1. Прием и клинический осмотр животного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</si>
  <si>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</si>
  <si>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</si>
  <si>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</si>
  <si>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</si>
  <si>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</si>
  <si>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</si>
  <si>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</si>
  <si>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</si>
  <si>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</si>
  <si>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</si>
  <si>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</si>
  <si>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</si>
  <si>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</si>
  <si>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</si>
  <si>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</si>
  <si>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</si>
  <si>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</si>
  <si>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</si>
  <si>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</si>
  <si>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</si>
  <si>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</si>
  <si>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</si>
  <si>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</si>
  <si>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</si>
  <si>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</si>
  <si>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</si>
  <si>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</si>
  <si>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</si>
  <si>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</si>
  <si>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</si>
  <si>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</si>
  <si>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</si>
  <si>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</si>
  <si>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</si>
  <si>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</si>
  <si>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</si>
  <si>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</si>
  <si>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</si>
  <si>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</si>
  <si>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</si>
  <si>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</si>
  <si>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</si>
  <si>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 xml:space="preserve"> - Нобивак: </t>
  </si>
  <si>
    <t xml:space="preserve"> - Эурикан: </t>
  </si>
  <si>
    <t>43</t>
  </si>
  <si>
    <t>44</t>
  </si>
  <si>
    <t>45</t>
  </si>
  <si>
    <t>46</t>
  </si>
  <si>
    <t>47</t>
  </si>
  <si>
    <t>48</t>
  </si>
  <si>
    <t>49</t>
  </si>
  <si>
    <t>50</t>
  </si>
  <si>
    <t>51</t>
  </si>
  <si>
    <t>52</t>
  </si>
  <si>
    <t>53</t>
  </si>
  <si>
    <t>54</t>
  </si>
  <si>
    <t>55</t>
  </si>
  <si>
    <t>56</t>
  </si>
  <si>
    <t>57</t>
  </si>
  <si>
    <t>58</t>
  </si>
  <si>
    <t>59</t>
  </si>
  <si>
    <t>60</t>
  </si>
  <si>
    <t>61</t>
  </si>
  <si>
    <t>1.2. Стоматология</t>
  </si>
  <si>
    <t xml:space="preserve">I. Ветеринарные услуги </t>
  </si>
  <si>
    <t>62</t>
  </si>
  <si>
    <t>63</t>
  </si>
  <si>
    <t>64</t>
  </si>
  <si>
    <t>65</t>
  </si>
  <si>
    <t>66</t>
  </si>
  <si>
    <t>67</t>
  </si>
  <si>
    <t>68</t>
  </si>
  <si>
    <t>69</t>
  </si>
  <si>
    <t>70</t>
  </si>
  <si>
    <t>71</t>
  </si>
  <si>
    <t>72</t>
  </si>
  <si>
    <t xml:space="preserve">1.3. Хирургия </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</si>
  <si>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</si>
  <si>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</si>
  <si>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</si>
  <si>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</si>
  <si>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</si>
  <si>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</si>
  <si>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</si>
  <si>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</si>
  <si>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</si>
  <si>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</si>
  <si>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</si>
  <si>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</si>
  <si>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</si>
  <si>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</si>
  <si>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</si>
  <si>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</si>
  <si>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</si>
  <si>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</si>
  <si>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</si>
  <si>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</si>
  <si>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</si>
  <si>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</si>
  <si>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</si>
  <si>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</si>
  <si>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</si>
  <si>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</si>
  <si>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</si>
  <si>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</si>
  <si>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</si>
  <si>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</si>
  <si>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</si>
  <si>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</si>
  <si>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</si>
  <si>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</si>
  <si>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</si>
  <si>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</si>
  <si>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</si>
  <si>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</si>
  <si>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</si>
  <si>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</si>
  <si>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</si>
  <si>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</si>
  <si>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</si>
  <si>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</si>
  <si>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</si>
  <si>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</si>
  <si>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</si>
  <si>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121</t>
  </si>
  <si>
    <t>122</t>
  </si>
  <si>
    <t>123</t>
  </si>
  <si>
    <t>124</t>
  </si>
  <si>
    <t>125</t>
  </si>
  <si>
    <t>126</t>
  </si>
  <si>
    <t>127</t>
  </si>
  <si>
    <t>1.4. Прочие услуги</t>
  </si>
  <si>
    <t>128</t>
  </si>
  <si>
    <t>129</t>
  </si>
  <si>
    <t>130</t>
  </si>
  <si>
    <t>131</t>
  </si>
  <si>
    <t>132</t>
  </si>
  <si>
    <t>133</t>
  </si>
  <si>
    <t>134</t>
  </si>
  <si>
    <t>135</t>
  </si>
  <si>
    <t>136</t>
  </si>
  <si>
    <t>137</t>
  </si>
  <si>
    <t>138</t>
  </si>
  <si>
    <t>139</t>
  </si>
  <si>
    <t>140</t>
  </si>
  <si>
    <t>141</t>
  </si>
  <si>
    <t>142</t>
  </si>
  <si>
    <t>143</t>
  </si>
  <si>
    <t>144</t>
  </si>
  <si>
    <t>145</t>
  </si>
  <si>
    <t>146</t>
  </si>
  <si>
    <t>147</t>
  </si>
  <si>
    <t>148</t>
  </si>
  <si>
    <t xml:space="preserve">2. Продуктивные животные </t>
  </si>
  <si>
    <t>3. Ветеринарно-санитарная экспертиза</t>
  </si>
  <si>
    <t>4. Иные виды услуг, не включенные в другие разделы</t>
  </si>
  <si>
    <t xml:space="preserve">II. Лабораторные исследования </t>
  </si>
  <si>
    <t xml:space="preserve">Дополнительные исследования </t>
  </si>
  <si>
    <t>3. Стоимость работы неполного часа ветеринарного специалиста оплачивается как полный час.</t>
  </si>
  <si>
    <t>4. Стоимость скидки лечебных и профилактических услуг для общественных организаций по содержанию безнадзорных животных составляет 20% от прейскуранта.</t>
  </si>
  <si>
    <t>5. Ветеринарное обслуживание на кинологических и фелинологических выставках осуществляется по заявке от 4 часов и более.</t>
  </si>
  <si>
    <t>Услуги Центра компетенции в сфере агропромышленного комплекса</t>
  </si>
  <si>
    <t>НДС, руб.</t>
  </si>
  <si>
    <t>Цена с НДС, руб.</t>
  </si>
  <si>
    <t>16. Сжигание патогенных биологических агентов</t>
  </si>
  <si>
    <t>Ихтиопатологическое обследование хозяйства</t>
  </si>
  <si>
    <t>10. Химико-токсикологические исследования</t>
  </si>
  <si>
    <t>**</t>
  </si>
  <si>
    <t>17.3</t>
  </si>
  <si>
    <t>17.4</t>
  </si>
  <si>
    <t>17.5</t>
  </si>
  <si>
    <t>17.6</t>
  </si>
  <si>
    <t>Кошки и собаки мелких пород (до 10 кг)</t>
  </si>
  <si>
    <t>Собаки средних пород (от 10 до 30 кг)</t>
  </si>
  <si>
    <t>Собаки крупных пород (от 30 до 50 кг)</t>
  </si>
  <si>
    <t>Собаки свыше 50 кг</t>
  </si>
  <si>
    <t>Отходы в зависимости от веса</t>
  </si>
  <si>
    <t>Opistorchis felineus (описторхоз)</t>
  </si>
  <si>
    <t>1 голова животных,
1 партия птиц, земноводных</t>
  </si>
  <si>
    <t>Выезд специалиста**</t>
  </si>
  <si>
    <t>***</t>
  </si>
  <si>
    <t>****</t>
  </si>
  <si>
    <t>Действует по Медвежьегорскому ветеринарному участку</t>
  </si>
  <si>
    <t>Действет по всем ветеринарным станциям, участкам, пунктам Республики Карелия</t>
  </si>
  <si>
    <t>3. Лабораторные исследования****</t>
  </si>
  <si>
    <t>Колибактериоз, стрептококкоз, стафилококкоз, пастереллез, псевдомоноз, диплококковая септицемия, отечная болезнь свиней</t>
  </si>
  <si>
    <t>Гистологическое исследование**</t>
  </si>
  <si>
    <t>Аллергены простой группы**</t>
  </si>
  <si>
    <t>Аллергены сложной группы**</t>
  </si>
  <si>
    <t>Профили**</t>
  </si>
  <si>
    <t>Гематология*</t>
  </si>
  <si>
    <t>Биохимическое исследование крови*</t>
  </si>
  <si>
    <t>Респираторные исследования (микроскопия)*</t>
  </si>
  <si>
    <t>Цитологические исследования (микроскопия)*</t>
  </si>
  <si>
    <t>Генетические исследования*</t>
  </si>
  <si>
    <t>Исследования бактерий (ПЦР)*</t>
  </si>
  <si>
    <t>Исследование вирусов (ПЦР)*</t>
  </si>
  <si>
    <t>Исследования на гельминтов и простейших (ПЦР)*</t>
  </si>
  <si>
    <t>Исследования на грибы (ПЦР)*</t>
  </si>
  <si>
    <t>Исследования уровня гормонов*</t>
  </si>
  <si>
    <t>Исследование антител (ИФА)*</t>
  </si>
  <si>
    <t>Бактериологические исследования*</t>
  </si>
  <si>
    <t xml:space="preserve">Определение амино-аммиачного азота  </t>
  </si>
  <si>
    <t>Массовая доля солей СаО в мелассе свекличной</t>
  </si>
  <si>
    <t>Плесени</t>
  </si>
  <si>
    <t>Дрожжи</t>
  </si>
  <si>
    <t>14.11</t>
  </si>
  <si>
    <t>14.12</t>
  </si>
  <si>
    <t>14.13</t>
  </si>
  <si>
    <t>14.14</t>
  </si>
  <si>
    <t>14.15</t>
  </si>
  <si>
    <t>14.16</t>
  </si>
  <si>
    <t>Биологическое потребление кислорода</t>
  </si>
  <si>
    <t>Цветность</t>
  </si>
  <si>
    <t>Жесткость общая</t>
  </si>
  <si>
    <t>Массовая концентрация анионных поверхностно-активных веществ (АПАВ)</t>
  </si>
  <si>
    <t>Сухой остаток (минерализация)</t>
  </si>
  <si>
    <t>Запах (органолептика)</t>
  </si>
  <si>
    <t>4.9</t>
  </si>
  <si>
    <t>4.10</t>
  </si>
  <si>
    <t>4.11</t>
  </si>
  <si>
    <t>новое</t>
  </si>
  <si>
    <t>4.12</t>
  </si>
  <si>
    <t>4.13</t>
  </si>
  <si>
    <t>4.14</t>
  </si>
  <si>
    <t>Офтальмоскопия (отоскопия)</t>
  </si>
  <si>
    <t>120</t>
  </si>
  <si>
    <t>Косметический шов:</t>
  </si>
  <si>
    <t>Инцизионная биопсия</t>
  </si>
  <si>
    <t>Аппликация глазных капель</t>
  </si>
  <si>
    <t>Санация глаз</t>
  </si>
  <si>
    <t>Ветеринарно-санитарная экспертиза меда:</t>
  </si>
  <si>
    <t>Ветеринарно-санитарная  экспертиза продуктов убоя птицы, кроликов, нутрий в полном объеме (органолептическая оценка, осмотр головы и внутренних органов согласно требованиям правил ветсанэкспертизы):</t>
  </si>
  <si>
    <t xml:space="preserve"> - Пряжа</t>
  </si>
  <si>
    <t xml:space="preserve"> - Кондопога</t>
  </si>
  <si>
    <t xml:space="preserve"> - Суоярви</t>
  </si>
  <si>
    <t xml:space="preserve"> - Олонец</t>
  </si>
  <si>
    <t xml:space="preserve"> - Медвежьегорск</t>
  </si>
  <si>
    <t xml:space="preserve"> - Питкяранта</t>
  </si>
  <si>
    <t xml:space="preserve"> - Сортавала</t>
  </si>
  <si>
    <t xml:space="preserve"> - Сегежа</t>
  </si>
  <si>
    <t xml:space="preserve"> - Лахденпохья</t>
  </si>
  <si>
    <t xml:space="preserve"> - Пудож</t>
  </si>
  <si>
    <t xml:space="preserve"> - Беломорск</t>
  </si>
  <si>
    <t xml:space="preserve"> - Муезерский</t>
  </si>
  <si>
    <t xml:space="preserve"> - Кемь</t>
  </si>
  <si>
    <t xml:space="preserve"> - Костомукша</t>
  </si>
  <si>
    <t xml:space="preserve"> - Калевала</t>
  </si>
  <si>
    <t xml:space="preserve"> - Лоухи</t>
  </si>
  <si>
    <t>149</t>
  </si>
  <si>
    <t>150</t>
  </si>
  <si>
    <t>151</t>
  </si>
  <si>
    <t>152</t>
  </si>
  <si>
    <t>153</t>
  </si>
  <si>
    <t>154</t>
  </si>
  <si>
    <t>155</t>
  </si>
  <si>
    <t>156</t>
  </si>
  <si>
    <t>Извлечение инородного предмета из носовых ходов</t>
  </si>
  <si>
    <t>157</t>
  </si>
  <si>
    <t>158</t>
  </si>
  <si>
    <t>Секционная резекция кишечника:</t>
  </si>
  <si>
    <t>Гемотрансфузия:</t>
  </si>
  <si>
    <t>Транспортные расходы по доставке проб для платных лабораторных исследований в г. Петрозаводск (по графику):</t>
  </si>
  <si>
    <t>Мелкие животные (крысы, хомяки и др.)</t>
  </si>
  <si>
    <t>Промывание носослезного канала</t>
  </si>
  <si>
    <t>Тест с флюоресцеином на целостность роговицы</t>
  </si>
  <si>
    <t>1 услуга</t>
  </si>
  <si>
    <t>Выезд специалиста, включает в себя транспортные, командировочные расходы, затраты на проживание</t>
  </si>
  <si>
    <t xml:space="preserve"> - по Петрозаводску</t>
  </si>
  <si>
    <t>Вирусная геморрагическая септицемия лососевых VHS ELISA (со срочным предоставлением результатов)</t>
  </si>
  <si>
    <t>Вирусная геморрагическая септицемия лососевых VHS ELISA (с отсроченным предоставлением результатов)</t>
  </si>
  <si>
    <t>Инфекционный некроз гемопоэтической ткани лососевых IHNV ELISA (со срочным предоставлением результатов)</t>
  </si>
  <si>
    <t>Инфекционный некроз гемопоэтической ткани лососевых IHNV ELISA (с отсроченным предоставлением результатов)</t>
  </si>
  <si>
    <t>Инфекционный некроз поджелудочной железы лососевых IPNV ELISA (со срочным предоставлением результатов)</t>
  </si>
  <si>
    <t>Инфекционный некроз поджелудочной железы лососевых IPNV ELISA (с отсроченным предоставлением результатов)</t>
  </si>
  <si>
    <t>Действует по Кондопожской ветеринарной станции</t>
  </si>
  <si>
    <t xml:space="preserve">Действует по Кондопожской ветеринарной станции, ветеринарной станции по Петрозаводскому городскому округу и Прионежскому муниципальному району </t>
  </si>
  <si>
    <t>Исследования продуктивных животных (с доставкой)***</t>
  </si>
  <si>
    <t>Исследования кала (с доставкой)***</t>
  </si>
  <si>
    <t>1. Серологические исследования (с доставкой)***</t>
  </si>
  <si>
    <t>2. Копрологические исследования (с доставкой)***</t>
  </si>
  <si>
    <t>III. Судебно-ветеринарная экспертиза</t>
  </si>
  <si>
    <t>Итоговая стоимость услуг рассчитывается исходя из позиций, включенных в Прейскурант в зависимости
от поставленных заказчиком целей</t>
  </si>
  <si>
    <t>Составление заключения (без включения расходов на выезд, осмотр, вскрытие, лабораторные исследования и пр.)</t>
  </si>
  <si>
    <t>6.3.1</t>
  </si>
  <si>
    <t>Лямблиоз животных (экспресс-метод по ИФА ИХМ)</t>
  </si>
  <si>
    <t>Введение лекарственных препаратов: внутримышечное, подкожное, глазное, назальное, капельное, пероральное:</t>
  </si>
  <si>
    <t>Семинтра:</t>
  </si>
  <si>
    <t xml:space="preserve"> - животное до 4 кг</t>
  </si>
  <si>
    <t xml:space="preserve"> - животное от 4 до 8 кг</t>
  </si>
  <si>
    <t xml:space="preserve"> - животное от 8 до 16 кг</t>
  </si>
  <si>
    <t>Капельное введение через инфузомат:</t>
  </si>
  <si>
    <r>
      <t>·</t>
    </r>
    <r>
      <rPr>
        <sz val="7"/>
        <rFont val="Times New Roman"/>
        <family val="1"/>
        <charset val="204"/>
      </rPr>
      <t xml:space="preserve">     </t>
    </r>
    <r>
      <rPr>
        <sz val="10"/>
        <rFont val="Times New Roman"/>
        <family val="1"/>
        <charset val="204"/>
      </rPr>
      <t>животное до 5 кг.</t>
    </r>
  </si>
  <si>
    <r>
      <t>·</t>
    </r>
    <r>
      <rPr>
        <sz val="7"/>
        <rFont val="Times New Roman"/>
        <family val="1"/>
        <charset val="204"/>
      </rPr>
      <t xml:space="preserve">     </t>
    </r>
    <r>
      <rPr>
        <sz val="10"/>
        <rFont val="Times New Roman"/>
        <family val="1"/>
        <charset val="204"/>
      </rPr>
      <t>животное от 5 до 15 кг.</t>
    </r>
  </si>
  <si>
    <r>
      <t>·</t>
    </r>
    <r>
      <rPr>
        <sz val="7"/>
        <rFont val="Times New Roman"/>
        <family val="1"/>
        <charset val="204"/>
      </rPr>
      <t xml:space="preserve">     </t>
    </r>
    <r>
      <rPr>
        <sz val="10"/>
        <rFont val="Times New Roman"/>
        <family val="1"/>
        <charset val="204"/>
      </rPr>
      <t>животное свыше 15 кг.</t>
    </r>
  </si>
  <si>
    <t xml:space="preserve"> - Раствор Рингера-Локка:</t>
  </si>
  <si>
    <t xml:space="preserve"> - Дюфалайт:</t>
  </si>
  <si>
    <t>Химиотерапия с доксорубицином:</t>
  </si>
  <si>
    <t xml:space="preserve">Введение гипериммунных препаратов с профилактической и лечебной целью: </t>
  </si>
  <si>
    <t>Гамма-глутамилтрансфераза</t>
  </si>
  <si>
    <t>9.35</t>
  </si>
  <si>
    <t>4.15</t>
  </si>
  <si>
    <t>4.16</t>
  </si>
  <si>
    <t>4.17</t>
  </si>
  <si>
    <t>Ринотрахеит ИФА</t>
  </si>
  <si>
    <t>Вирусная диарея КРС ИФА</t>
  </si>
  <si>
    <t>Блютанг ИФА</t>
  </si>
  <si>
    <t>Расшифровка рентгенограммы</t>
  </si>
  <si>
    <t>Биохимическое, микроскопическое исследование кала (копрограмма)</t>
  </si>
  <si>
    <t xml:space="preserve"> - кролики, птицы (на 10 голов)</t>
  </si>
  <si>
    <t>Выездная услуга по термическому уничтожению отходов:</t>
  </si>
  <si>
    <t xml:space="preserve"> - пробег спец.автомобиля</t>
  </si>
  <si>
    <t xml:space="preserve"> - сжигание биоотходов:</t>
  </si>
  <si>
    <r>
      <t>·</t>
    </r>
    <r>
      <rPr>
        <sz val="7"/>
        <rFont val="Times New Roman"/>
        <family val="1"/>
        <charset val="204"/>
      </rPr>
      <t xml:space="preserve">     </t>
    </r>
    <r>
      <rPr>
        <sz val="10"/>
        <rFont val="Times New Roman"/>
        <family val="1"/>
        <charset val="204"/>
      </rPr>
      <t>до 100 кг.</t>
    </r>
  </si>
  <si>
    <r>
      <t>·</t>
    </r>
    <r>
      <rPr>
        <sz val="7"/>
        <rFont val="Times New Roman"/>
        <family val="1"/>
        <charset val="204"/>
      </rPr>
      <t xml:space="preserve">     </t>
    </r>
    <r>
      <rPr>
        <sz val="10"/>
        <rFont val="Times New Roman"/>
        <family val="1"/>
        <charset val="204"/>
      </rPr>
      <t>до 200 кг.</t>
    </r>
  </si>
  <si>
    <r>
      <t>·</t>
    </r>
    <r>
      <rPr>
        <sz val="7"/>
        <rFont val="Times New Roman"/>
        <family val="1"/>
        <charset val="204"/>
      </rPr>
      <t xml:space="preserve">     </t>
    </r>
    <r>
      <rPr>
        <sz val="10"/>
        <rFont val="Times New Roman"/>
        <family val="1"/>
        <charset val="204"/>
      </rPr>
      <t>до 300 кг.</t>
    </r>
  </si>
  <si>
    <r>
      <t>·</t>
    </r>
    <r>
      <rPr>
        <sz val="7"/>
        <rFont val="Times New Roman"/>
        <family val="1"/>
        <charset val="204"/>
      </rPr>
      <t xml:space="preserve">     </t>
    </r>
    <r>
      <rPr>
        <sz val="10"/>
        <rFont val="Times New Roman"/>
        <family val="1"/>
        <charset val="204"/>
      </rPr>
      <t>до 400 кг.</t>
    </r>
  </si>
  <si>
    <r>
      <t>·</t>
    </r>
    <r>
      <rPr>
        <sz val="7"/>
        <rFont val="Times New Roman"/>
        <family val="1"/>
        <charset val="204"/>
      </rPr>
      <t xml:space="preserve">     </t>
    </r>
    <r>
      <rPr>
        <sz val="10"/>
        <rFont val="Times New Roman"/>
        <family val="1"/>
        <charset val="204"/>
      </rPr>
      <t>до 500 кг.</t>
    </r>
  </si>
  <si>
    <r>
      <t>·</t>
    </r>
    <r>
      <rPr>
        <sz val="7"/>
        <rFont val="Times New Roman"/>
        <family val="1"/>
        <charset val="204"/>
      </rPr>
      <t xml:space="preserve">     </t>
    </r>
    <r>
      <rPr>
        <sz val="10"/>
        <rFont val="Times New Roman"/>
        <family val="1"/>
        <charset val="204"/>
      </rPr>
      <t>до 600 кг.</t>
    </r>
  </si>
  <si>
    <t>Биохимический анализ крови на 15 показателей (Лошадиный профиль: ALB, ALB/GLOB, ALKP, AST, BUN, BUN/CREA, Ca, CK, CREA, GGT, GLOB*, GLU, LDH, TBIL, TP)</t>
  </si>
  <si>
    <t>Биохимический анализ крови на 10 показателей (Предоперационный профиль: ALB, ALB/GLOB, ALKP, ALT, BUN, BUN/CREA, CREA, GLOB*, GLU, TP)</t>
  </si>
  <si>
    <t>Биохимический анализ крови на 4 показателя (Электролиты: Cl, K, Na, Na/K)</t>
  </si>
  <si>
    <t>Гематологический анализ крови (LaserCyte*Dx)</t>
  </si>
  <si>
    <t>Биохимический анализ крови на 17 показателей (Диагностический профиль: ALB, ALB/GLOB, ALKP, ALT, AMYL, BUN, BUN/CREA, Ca, CHOL, CREA, GGT, GLOB*, GLU, LIPA, PHOS, TBIL, TP)</t>
  </si>
  <si>
    <t xml:space="preserve"> - Рабиген</t>
  </si>
  <si>
    <t>Вакцинация животных с проведением клинического осмотра, консультации, инъекции и внесением данных в ветеринарный паспорт:</t>
  </si>
  <si>
    <t>Введение контрастного вещества через пищеварительный тракт:</t>
  </si>
  <si>
    <t xml:space="preserve"> - кошки (до 4 кг.)</t>
  </si>
  <si>
    <t xml:space="preserve"> - собаки (до 10 кг.)</t>
  </si>
  <si>
    <t xml:space="preserve"> - собаки (до 40 кг.)</t>
  </si>
  <si>
    <t>Лапароцентез:</t>
  </si>
  <si>
    <t xml:space="preserve"> - диагностический</t>
  </si>
  <si>
    <t xml:space="preserve"> - отведение жидкости</t>
  </si>
  <si>
    <t>Торакоцентез:</t>
  </si>
  <si>
    <t xml:space="preserve"> - диафрагмальной грыжи</t>
  </si>
  <si>
    <t xml:space="preserve"> - промежностной грыжи</t>
  </si>
  <si>
    <t xml:space="preserve"> - паховой грыжи осложненной</t>
  </si>
  <si>
    <t xml:space="preserve"> - паховой грыжи</t>
  </si>
  <si>
    <t xml:space="preserve"> - пупочной грыжи осложненной</t>
  </si>
  <si>
    <t xml:space="preserve"> - пупочной грыжи</t>
  </si>
  <si>
    <t xml:space="preserve"> - диафрагмальной грыжи осложненной</t>
  </si>
  <si>
    <t>Цитология влагалищного мазка</t>
  </si>
  <si>
    <t>Подшивание слёзной железы (1 глаз)</t>
  </si>
  <si>
    <t>Биохимический анализ крови на общий Т4 – IDEXX</t>
  </si>
  <si>
    <t>Биохимический анализ крови на щелочную фосфатазу – IDEXX</t>
  </si>
  <si>
    <t>Биохимический анализ крови на аланин-аминотрансферазу (АЛТ) – IDEXX</t>
  </si>
  <si>
    <t>Биохимический анализ крови на гамма-глутамилтрансферазу (ГГТ) – IDEXX</t>
  </si>
  <si>
    <t xml:space="preserve"> - собаки</t>
  </si>
  <si>
    <t>инфляция</t>
  </si>
  <si>
    <t>Цена, без НДС</t>
  </si>
  <si>
    <t>НДС</t>
  </si>
  <si>
    <t>проверка</t>
  </si>
  <si>
    <t>6.6</t>
  </si>
  <si>
    <t>Снятие дренажа</t>
  </si>
  <si>
    <t xml:space="preserve"> - кролики, нутрии (партия до 60 тушек)</t>
  </si>
  <si>
    <t xml:space="preserve"> - кролики, нутрии (партия свыше 60 тушек)</t>
  </si>
  <si>
    <t xml:space="preserve"> - куры, утки, гуси, индейки и др.</t>
  </si>
  <si>
    <t xml:space="preserve"> - клеймение тушек кроликов, нутрий</t>
  </si>
  <si>
    <t>Рентгенографическое исследование (1 снимок)</t>
  </si>
  <si>
    <t>1 диск</t>
  </si>
  <si>
    <t>Комплексное обследование с контрастом (до 5 снимков):</t>
  </si>
  <si>
    <t>Риноскопия:</t>
  </si>
  <si>
    <t>Отоскопия:</t>
  </si>
  <si>
    <t>Вагиноскопия:</t>
  </si>
  <si>
    <t>Колоноскопия:</t>
  </si>
  <si>
    <t>Канинсулин (1 флакон)</t>
  </si>
  <si>
    <t xml:space="preserve"> - Вангард-7</t>
  </si>
  <si>
    <t xml:space="preserve"> - Дефенсор 3</t>
  </si>
  <si>
    <t xml:space="preserve">Лептоспироз РМА  </t>
  </si>
  <si>
    <t>3.16</t>
  </si>
  <si>
    <t>Паратуберкулез РСК</t>
  </si>
  <si>
    <t>4.18</t>
  </si>
  <si>
    <t>4.19</t>
  </si>
  <si>
    <t>4.20</t>
  </si>
  <si>
    <t>4.21</t>
  </si>
  <si>
    <t>Висна-Маеди ИФА</t>
  </si>
  <si>
    <t>1 проба -
1 стрип
(1-5 проб)</t>
  </si>
  <si>
    <t>Гептрал лиоф (1 флакон)</t>
  </si>
  <si>
    <t>3.17</t>
  </si>
  <si>
    <t>Болезнь овец, вызываемая бруцелла овис (РДСК)</t>
  </si>
  <si>
    <t>Установка эзофагостомы</t>
  </si>
  <si>
    <t>Кортизол</t>
  </si>
  <si>
    <r>
      <t xml:space="preserve">ТТГ собак </t>
    </r>
    <r>
      <rPr>
        <sz val="12"/>
        <rFont val="Calibri"/>
        <family val="2"/>
        <charset val="204"/>
      </rPr>
      <t>(тиреотропный гормон)</t>
    </r>
  </si>
  <si>
    <r>
      <t xml:space="preserve">АКТГ </t>
    </r>
    <r>
      <rPr>
        <sz val="12"/>
        <rFont val="Calibri"/>
        <family val="2"/>
        <charset val="204"/>
      </rPr>
      <t>(аденокортикотропный гормон)</t>
    </r>
  </si>
  <si>
    <r>
      <t xml:space="preserve">Паратиреоидный гормон </t>
    </r>
    <r>
      <rPr>
        <sz val="12"/>
        <rFont val="Calibri"/>
        <family val="2"/>
        <charset val="204"/>
      </rPr>
      <t>(ПТГ)</t>
    </r>
  </si>
  <si>
    <t xml:space="preserve">Фенобарбитал </t>
  </si>
  <si>
    <t xml:space="preserve">Дилатационная кардиомиопатия доберманов (Dilated Cardiomyopathy, DCM)                       </t>
  </si>
  <si>
    <t>Дилатационная кардиомиопатия боксёров (Dilated Cardiomyopathy, DCM-box)</t>
  </si>
  <si>
    <t>Дилатационная кардиомиопатия ирландских волкодавов (Dilated Cardiomyopathy, DCM-iw)</t>
  </si>
  <si>
    <t>Нарколепсия доберманов (Narcolepsy, NARC)</t>
  </si>
  <si>
    <t xml:space="preserve">Наследственный энцефалит мопсов (Necrotizing Meningoencephalitis, NME, Pug Dogs Encephalitis, PDE) </t>
  </si>
  <si>
    <r>
      <t>Дегенеративная миелопатия. Экзон 2 (Degenerative Myelopathy, DM Ex2).
Породы:</t>
    </r>
    <r>
      <rPr>
        <sz val="12"/>
        <rFont val="Calibri"/>
        <family val="2"/>
        <charset val="204"/>
      </rPr>
      <t xml:space="preserve"> все.</t>
    </r>
  </si>
  <si>
    <r>
      <t>Дегенеративная миелопатия. Экзон 1 (Degenerative Myelopathy, DM Ex1).
Породы:</t>
    </r>
    <r>
      <rPr>
        <sz val="12"/>
        <rFont val="Calibri"/>
        <family val="2"/>
        <charset val="204"/>
      </rPr>
      <t xml:space="preserve"> бернский зенненхунд</t>
    </r>
  </si>
  <si>
    <r>
      <t>Дегенеративная миелопатия. Два экзона (Degenerative Myelopathy, DM Ex1- Ex2).
Породы:</t>
    </r>
    <r>
      <rPr>
        <sz val="12"/>
        <rFont val="Calibri"/>
        <family val="2"/>
        <charset val="204"/>
      </rPr>
      <t xml:space="preserve"> бернский зенненхунд</t>
    </r>
  </si>
  <si>
    <r>
      <t xml:space="preserve">Злокачественная гипертермия (Malignant Hyperthermia, MH).
Породы: </t>
    </r>
    <r>
      <rPr>
        <sz val="12"/>
        <rFont val="Calibri"/>
        <family val="2"/>
        <charset val="204"/>
      </rPr>
      <t>все.</t>
    </r>
  </si>
  <si>
    <t>Гипертрофическая кардиомиопатия мейн-кунов 1 мутация, А 31Р (Hypertrophic Сardiomyopathy, HCM)</t>
  </si>
  <si>
    <t>Гипертрофическая кардиомиопатия мейн-кунов 2 мутации, А 31Р, А 74Т  (Hypertrophic Сardiomyopathy, HCM)</t>
  </si>
  <si>
    <t>Гипертрофическая кардиомиопатия рэгдоллов (Hypertrophic Сardiomyopathy, HCM)</t>
  </si>
  <si>
    <t>Дефицит эритроцитарной пируваткиназы кошек (Erythrocyte Pyruvate Kinase Deficiency, PK-def).
Породы: абиссинская, сомали, бенгальская, египетская мау, лаперм, мейн-кун, норвежская лесная кошка, саванна, сибирская кошка, сингапурская кошка (сингапура)</t>
  </si>
  <si>
    <r>
      <t>Группа крови: A (группа крови А); AB (группа крови А или АB, носитель группы крови B); B (группа крови B).  Породы:</t>
    </r>
    <r>
      <rPr>
        <sz val="12"/>
        <rFont val="Arial"/>
        <family val="2"/>
      </rPr>
      <t xml:space="preserve"> все</t>
    </r>
  </si>
  <si>
    <t xml:space="preserve">Мейн-кун
Гипертрофическая кардиомиопатия мейн-кунов (1 мутация, А31Р)
Дефицит пируваткиназы
Спинальная мышечная атрофия </t>
  </si>
  <si>
    <t xml:space="preserve">Мейн-кун расширенный
Гипертрофическая кардиомиопатия мейн-кунов  (2 мутации, А31Р, А74Т)
Дефицит пируваткиназы
Спинальная мышечная атрофия </t>
  </si>
  <si>
    <t>Исследование выпотной жидкости (только торакальная, абдоминальная, перикардиальная жидкости)</t>
  </si>
  <si>
    <t>Цитологическое исследование стандартное (ТИБ/ТИАБ, глубокий соскоб, мазок-отпечаток, жидкость с ЭДТА (не подходящая для AN501)</t>
  </si>
  <si>
    <t>Декальцинация</t>
  </si>
  <si>
    <t>Выявление клональности лимфоцитов (PARR)</t>
  </si>
  <si>
    <t>Мутация в гене C-KIT</t>
  </si>
  <si>
    <t>Изготовление препарата до стекла с окрашиванием, без консультации патолога (2 блока)</t>
  </si>
  <si>
    <t>Изготовление препарата до стекла с окрашиванием, без консультации патолога из операционного материала (до 6 блоков)</t>
  </si>
  <si>
    <t>Изготовление стекла из парафинового блока (дорезка без окрашивания)</t>
  </si>
  <si>
    <t>Изготовление стекла из парафинового блока (дорезка с окрашиванием)</t>
  </si>
  <si>
    <t>Иммуногистохимия (приготовление препарата + одно антитело)</t>
  </si>
  <si>
    <r>
      <t>Иммуногистохимия (дополнительное антитело)</t>
    </r>
    <r>
      <rPr>
        <sz val="11"/>
        <rFont val="Calibri"/>
        <family val="2"/>
        <charset val="204"/>
      </rPr>
      <t xml:space="preserve"> </t>
    </r>
  </si>
  <si>
    <t>Определение меди в патматериале (ГХ/МС)</t>
  </si>
  <si>
    <t>Сканирование готовых стёкол, без заключения патолога (окрашенное гистологическое стекло)</t>
  </si>
  <si>
    <t>Квамател (1 флакон)</t>
  </si>
  <si>
    <t>Гордокс:</t>
  </si>
  <si>
    <t xml:space="preserve"> - животное до 10 кг</t>
  </si>
  <si>
    <t xml:space="preserve"> - животное от 10 до 20 кг</t>
  </si>
  <si>
    <t xml:space="preserve"> - животное от 30 до 40 кг</t>
  </si>
  <si>
    <t xml:space="preserve"> - животное от 40 до 50 кг</t>
  </si>
  <si>
    <t xml:space="preserve"> - животное от 50 до 60 кг</t>
  </si>
  <si>
    <t>Лейкоз КРС (РИД)</t>
  </si>
  <si>
    <t>Цистоцентез (удаление жидкости через прокол мочевого пузыря)</t>
  </si>
  <si>
    <t>Кобактан:</t>
  </si>
  <si>
    <t>Цитологическое исследование мазка с кожи (ушей) непродуктивного животного с микроскопией</t>
  </si>
  <si>
    <t>Электрокардиография (ЭКГ)</t>
  </si>
  <si>
    <t>Электрокардиография (ЭКГ) с расшифровкой</t>
  </si>
  <si>
    <t>Трийодтиронин общий (Т3 общий)</t>
  </si>
  <si>
    <t>Тироксин свободный (Т4 свободный)</t>
  </si>
  <si>
    <t>Тироксин общий (Т4 общий)</t>
  </si>
  <si>
    <t>Трийодтиронин свободный (Т3 свободный)</t>
  </si>
  <si>
    <t>Люминесцентная диагностика микроспории (охотничьих трофеев)</t>
  </si>
  <si>
    <t>Люминесцентная диагностика</t>
  </si>
  <si>
    <t>Восстановительная хирургия с применением эндопротез-сетки</t>
  </si>
  <si>
    <t>Габапентин:</t>
  </si>
  <si>
    <t xml:space="preserve"> - животное от 5 до 20 кг</t>
  </si>
  <si>
    <t xml:space="preserve"> - животное свыше 20 кг</t>
  </si>
  <si>
    <t>Паглюферал:</t>
  </si>
  <si>
    <t>Подготовка письменного обращения в государственный орган, ответа на письменное обращение (требование, запрос) государственного органа</t>
  </si>
  <si>
    <t>6.7</t>
  </si>
  <si>
    <t>6.8</t>
  </si>
  <si>
    <t>6.9</t>
  </si>
  <si>
    <t>6.10</t>
  </si>
  <si>
    <t>6.11</t>
  </si>
  <si>
    <t>6.12</t>
  </si>
  <si>
    <t>6.13</t>
  </si>
  <si>
    <t>6.14</t>
  </si>
  <si>
    <t>6.15</t>
  </si>
  <si>
    <t>6.16</t>
  </si>
  <si>
    <t>6.17</t>
  </si>
  <si>
    <t>Составление искового заявления в суд общей юрисдикции</t>
  </si>
  <si>
    <t>Составление искового заявления в Арбитражный суд</t>
  </si>
  <si>
    <t>Составление ходатайства в суд процессуального характера, кроме ходатайств о назначении судебной экспертизы</t>
  </si>
  <si>
    <t>Подготовка проекта протокола общего собрания СХК</t>
  </si>
  <si>
    <t>Разработка проекта инструкции по охране труда</t>
  </si>
  <si>
    <t>Разработка проекта инструкции о мерах пожарной безопасности</t>
  </si>
  <si>
    <t>Разработка проекта правил внутреннего трудового распорядка</t>
  </si>
  <si>
    <t>Разработка проекта положения о персональных данных работников</t>
  </si>
  <si>
    <t>Подготовка бланков журналов вводного, повторного, внепланового и целевого инструктажей по охране труда, журнала инструктажа на рабочем месте</t>
  </si>
  <si>
    <t>1 бланк журнала</t>
  </si>
  <si>
    <t>11.4</t>
  </si>
  <si>
    <t>11.5</t>
  </si>
  <si>
    <t>11.6</t>
  </si>
  <si>
    <t>Разработка проекта необходимых документов при приеме на работу</t>
  </si>
  <si>
    <t>Разработка проекта трудового договора</t>
  </si>
  <si>
    <t>Разработка проекта должностной инструкции</t>
  </si>
  <si>
    <t>Разработка проекта договора о полной материальной ответственности</t>
  </si>
  <si>
    <t>Исчисление стажа различных видов, в том числе необходимого для выхода на пенсию</t>
  </si>
  <si>
    <t>E.Coli (или энтерококки)</t>
  </si>
  <si>
    <t>18.4</t>
  </si>
  <si>
    <t xml:space="preserve">   - панлейкопении, калицивироза, ринотрахеита (герпесвирус)</t>
  </si>
  <si>
    <t xml:space="preserve">   - панлейкопении, калицивироза, ринотрахеита (герпесвирус), бешенства</t>
  </si>
  <si>
    <t>18.5</t>
  </si>
  <si>
    <t>Оформление дубликата актов, экспертиз, протоколов и др.</t>
  </si>
  <si>
    <t xml:space="preserve"> - УЗИ одной системы органов</t>
  </si>
  <si>
    <t xml:space="preserve"> - УЗИ брюшной полости</t>
  </si>
  <si>
    <t xml:space="preserve"> - повторное УЗИ одного органа</t>
  </si>
  <si>
    <t xml:space="preserve"> - УЗИ одного органа</t>
  </si>
  <si>
    <t xml:space="preserve"> - Рабизин</t>
  </si>
  <si>
    <t>4.22</t>
  </si>
  <si>
    <t>Конвения:</t>
  </si>
  <si>
    <t xml:space="preserve"> - животное до 10 кг.</t>
  </si>
  <si>
    <t xml:space="preserve"> - животное от 10 до 20 кг.</t>
  </si>
  <si>
    <t xml:space="preserve"> - животное от 20 до 30 кг.</t>
  </si>
  <si>
    <t xml:space="preserve"> - животное от 30 до 40 кг.</t>
  </si>
  <si>
    <t xml:space="preserve"> - животное свыше 40 кг.</t>
  </si>
  <si>
    <t>Повторный прием профильного специалиста</t>
  </si>
  <si>
    <t>4.23</t>
  </si>
  <si>
    <t>4.24</t>
  </si>
  <si>
    <t>4.25</t>
  </si>
  <si>
    <t>4.26</t>
  </si>
  <si>
    <t>4.27</t>
  </si>
  <si>
    <t>Остеосинтез с пластинами</t>
  </si>
  <si>
    <t>Остеосинтез со спицами</t>
  </si>
  <si>
    <t>Коррекция брахицефалического синдрома (БЦС)</t>
  </si>
  <si>
    <t>1 собако/день</t>
  </si>
  <si>
    <t>Содержание животных без учета стоимости корма</t>
  </si>
  <si>
    <t xml:space="preserve">  - L (от чумы плотоядных, аденовирозов, парвовироза, парагриппа-2 и лептоспироза)</t>
  </si>
  <si>
    <t xml:space="preserve">  -RL (от чумы плотоядных, аденовирозов, парвовироза, парагриппа-2, лептоспироза и бешенства)</t>
  </si>
  <si>
    <t xml:space="preserve"> - Глобфел-4 (1 флакон)</t>
  </si>
  <si>
    <t xml:space="preserve"> - собакам</t>
  </si>
  <si>
    <t xml:space="preserve"> - кошкам</t>
  </si>
  <si>
    <t>Фелиферон (1 флакон)</t>
  </si>
  <si>
    <t>Определение общей токсичности кормов, комбикормов, комбикормового сырья (кролик, простейшие-парамеции)</t>
  </si>
  <si>
    <t>Антимюллеров гормон (АМГ)</t>
  </si>
  <si>
    <t>Креатинкеназа</t>
  </si>
  <si>
    <t>Canine parvovirus (парвовирусный энтерит у собак)</t>
  </si>
  <si>
    <t>Herpes simplex virus I, II  /вирус простого герпеса 1,2 типов</t>
  </si>
  <si>
    <t>Feline leukemia virus (вирус лейкемии кошек)</t>
  </si>
  <si>
    <t>Feline immunodificiency virus (вирус иммунодефицита кошек)</t>
  </si>
  <si>
    <t>Feline herpes virus (вирус герпеса кошек)</t>
  </si>
  <si>
    <t>Feline calicivirus (калицивироз кошек)</t>
  </si>
  <si>
    <t>Feline coronavirus (вирус инфекционного перитонита кошек)</t>
  </si>
  <si>
    <t>Entamoeba Histolytica (энтамеба хистолитика)</t>
  </si>
  <si>
    <t>АЧТВ</t>
  </si>
  <si>
    <t xml:space="preserve">Тромбиновое время </t>
  </si>
  <si>
    <t>Протромбиновое время</t>
  </si>
  <si>
    <t>Фибриноген</t>
  </si>
  <si>
    <t xml:space="preserve">Антитромбин III </t>
  </si>
  <si>
    <r>
      <t xml:space="preserve">Коагулограмма, четыре показателя </t>
    </r>
    <r>
      <rPr>
        <sz val="12"/>
        <rFont val="Calibri"/>
        <family val="2"/>
        <charset val="204"/>
        <scheme val="minor"/>
      </rPr>
      <t>(АЧТВ, протромбиновое время, тромбиновое время, фибриноген)</t>
    </r>
  </si>
  <si>
    <t>Эстрадиол</t>
  </si>
  <si>
    <t>Андростендион</t>
  </si>
  <si>
    <t>Альдостерон</t>
  </si>
  <si>
    <t>Инсулин</t>
  </si>
  <si>
    <t>Гастрин</t>
  </si>
  <si>
    <t>Прогестерон, определение овуляции</t>
  </si>
  <si>
    <r>
      <t xml:space="preserve">Т4 общий </t>
    </r>
    <r>
      <rPr>
        <sz val="12"/>
        <rFont val="Calibri"/>
        <family val="2"/>
        <charset val="204"/>
      </rPr>
      <t>(тироксин)</t>
    </r>
  </si>
  <si>
    <r>
      <t xml:space="preserve">Малая дексаметазоновая проба </t>
    </r>
    <r>
      <rPr>
        <sz val="12"/>
        <rFont val="Calibri"/>
        <family val="2"/>
        <charset val="204"/>
      </rPr>
      <t>(три определения кортизола)</t>
    </r>
  </si>
  <si>
    <r>
      <t xml:space="preserve">Соматомедин С </t>
    </r>
    <r>
      <rPr>
        <sz val="12"/>
        <rFont val="Calibri"/>
        <family val="2"/>
        <charset val="204"/>
      </rPr>
      <t>(инсулиноподобный фактор роста-1, ИФР-1)</t>
    </r>
  </si>
  <si>
    <t>17-ОН-прогестерон</t>
  </si>
  <si>
    <t>Эстрадиол/Андростендион/17-ОН прогестерон</t>
  </si>
  <si>
    <t xml:space="preserve">Тропонин I </t>
  </si>
  <si>
    <t>Фенитоин</t>
  </si>
  <si>
    <t>Вальпроевая кислота</t>
  </si>
  <si>
    <t>Карбамазепин</t>
  </si>
  <si>
    <t>Циклоспорин</t>
  </si>
  <si>
    <t>Леветирацетам</t>
  </si>
  <si>
    <t>Дигоксин (кровь)</t>
  </si>
  <si>
    <t>Дигоксин (моча)</t>
  </si>
  <si>
    <r>
      <t xml:space="preserve">Лекарственный мониторинг вещества не входящего в перечень препаратов </t>
    </r>
    <r>
      <rPr>
        <sz val="12"/>
        <rFont val="Calibri"/>
        <family val="2"/>
        <charset val="204"/>
      </rPr>
      <t>(необходимо предварительное согласование и образец принимаемого препарата)</t>
    </r>
  </si>
  <si>
    <t>ВакциЧек, определение антител класса IgG к аденовирусу тип I (вирусный гепатит собак (СAV I), парвовирусу (CPV), чуме плотоядных (CDV)</t>
  </si>
  <si>
    <t>ВакциЧек, определение антител класса IgG к вирусу панлейкопении (FPV), калицивирусу (FCV), герпес вирусу (FHV)</t>
  </si>
  <si>
    <t>Определение титра антител к бешенству (сертификат ВГНКИ)</t>
  </si>
  <si>
    <r>
      <t xml:space="preserve">Панель для определения аллерген-специфичных  IgE в сыворотке крови собак        Аллергены: </t>
    </r>
    <r>
      <rPr>
        <sz val="12"/>
        <rFont val="Calibri"/>
        <family val="2"/>
        <charset val="204"/>
      </rPr>
      <t>блоха (Ctenocephalides), клещ (Tyrophagus), клещ (Acarus siro), щавель, полынь, подорожник, лебеда белая, крапива, смесь из шести трав, пыльца ржи, пыльца паритарии (постенницы аптечной), пыльца платана / ивы / тополя, пыльца березы / ольхи / ореха, амброзия, гриб Alternaria tenuis / Cladosporium herbarum, гриб Aspergillus fumigatus / Penicillum notatum, клещ Lepidoglyphus destructor, гриб Malassezia, клещ Dermatophagoides pteronyssinus, клещ Dermatophagoides farinaе.</t>
    </r>
  </si>
  <si>
    <t>Генетические исследования собак</t>
  </si>
  <si>
    <r>
      <t xml:space="preserve">Объем мышечной массы уиппетов ("bully").             Породы: </t>
    </r>
    <r>
      <rPr>
        <sz val="12"/>
        <rFont val="Calibri"/>
        <family val="2"/>
        <charset val="204"/>
      </rPr>
      <t>уиппет.</t>
    </r>
  </si>
  <si>
    <t>Куриная слепота бриаров (Briard Congenital Stationary Night Blindness, Briard CSNB)</t>
  </si>
  <si>
    <t>Мышечная дистрофия кавалер кинг чарльз спаниэлей (Duchenne Muscular Dystrophy Cavalier King Charles Spaniels, DMD-CKCS)</t>
  </si>
  <si>
    <t xml:space="preserve">Поликистоз почек бультерьеров (BTPKD).                  </t>
  </si>
  <si>
    <t>Прогрессирующая атрофия сетчатки басенджи (Progressive Retinal Atrophy, bas-PRA).</t>
  </si>
  <si>
    <t>Прогрессирующая атрофия сетчатки папильонов и фаленов (Progressive Retinal Atrophy, pap-PRA).</t>
  </si>
  <si>
    <t xml:space="preserve">Ранняя прогрессирующая полинейропатия маламутов (AMPN).       </t>
  </si>
  <si>
    <t>Синдром Фанкони басенджи (FBS).</t>
  </si>
  <si>
    <t xml:space="preserve">Циклическая (периодическая) нейтропения (синдром "серой колли", Cyclic Neutropenia, Gray Collie Syndrome, GSC). </t>
  </si>
  <si>
    <t xml:space="preserve">Ювенильная миоклоническая эпилепсия Родезийских риджбеков (JME)  </t>
  </si>
  <si>
    <t>Наследственный гиперкератоз подушечек лап (HFH) Породы: ирландский терьер, кромфорлендер</t>
  </si>
  <si>
    <t>Прогрессирующая атрофия сетчатки (Progressive Retinal Atrophy, GR-PRA1, Golden Retriever PRA1). Породы: золотистый ретривер.</t>
  </si>
  <si>
    <t>Прогрессирующая атрофия сетчатки (Progressive Retinal Atrophy, GR-PRA2, Golden Retriever PRA2).Породы: золотистый ретривер.</t>
  </si>
  <si>
    <t>Синдром сухого глаза и курчавошерстности (Congenital Keratoconjunctivitis Sicca and Ichtyosiform Dermatosis, CKCSID).                                                                            Породы: кавалер кинг чарльз спаниель.</t>
  </si>
  <si>
    <t>Цистинурия (Cystinuria, Cys). Породы: ньюфаундленд, ландзир.</t>
  </si>
  <si>
    <t>Спиноцеребеллярная атаксия с миокимией и/или судорогами (SCA) Породы: гладкошерстный фокстерьер, джек рассел терьер, парсон рассел терьер, тентерфилд-терьер, той фокстерьер</t>
  </si>
  <si>
    <t>Прогрессирующая атрофия сетчатки (Progressive Retinal Atrophy, XL-PRA (X-Linked PRA)).   Породы: самоедская собака, сибирский хаски.</t>
  </si>
  <si>
    <t>Прогрессирующая атрофия сетчатки (Progressive Retinal Atrophy, PRA-crd1 (Cоne-Rod Dystrophy 1)).  Породы: американский стаффордширский терьер.</t>
  </si>
  <si>
    <t>Прогрессирующая атрофия сетчатки (Progressive Retinal Atrophy, PRA-crd2 (Cоne-Rod Dystrophy 2)).   Породы: американский питбультерьер.</t>
  </si>
  <si>
    <t>Поздняя мозжечковая атаксия (LOA) Породы: джек рассел терьер, парсон рассел терьер</t>
  </si>
  <si>
    <t>Первичная цилиарная дискинезия (PCD) Породы: староанглийская овчарка (бобтейл)</t>
  </si>
  <si>
    <t>Нейроаксональная дистрофия (NAD)  Породы: папийон, фален</t>
  </si>
  <si>
    <t>Мукополисахаридоз IIIB типа (Mucopolysaccharidosis type IIIB, MPS-IIIB).                   Породы: шипперке.</t>
  </si>
  <si>
    <t>Гликогеноз IIIa типа (Glycogen Storage Disease type IIIa, GSD IIIa).                                 Породы: курчавошерстный ретривер.</t>
  </si>
  <si>
    <t>Врожденный гипотиреоз с зобом FB (CHG)  Породы: французский бульдог</t>
  </si>
  <si>
    <t>Гиперурикозурия (Hyperuricosuria, HUU).     Породы: все.</t>
  </si>
  <si>
    <t>Врожденный гипотиреоз с зобом SWD (CHG) Породы: испанская водяная собака</t>
  </si>
  <si>
    <t>Паспорт генетической идентификации</t>
  </si>
  <si>
    <t xml:space="preserve">Дополнительная проба к п. AN БР2 (щенок, кобель, сука) </t>
  </si>
  <si>
    <r>
      <t>Установление родства двух животных (щенок + кобель, мать бесплатно)</t>
    </r>
    <r>
      <rPr>
        <b/>
        <sz val="12"/>
        <rFont val="Calibri"/>
        <family val="2"/>
        <charset val="204"/>
      </rPr>
      <t xml:space="preserve"> </t>
    </r>
  </si>
  <si>
    <t>Американский стаффордширский терьер Гиперурикозурия Прогрессирующая атрофия сетчатки PRA-crd1 Мозжечковая атаксия</t>
  </si>
  <si>
    <t xml:space="preserve">Английский бульдог Гиперурикозурия Мультифокальная ретинопатия Дегенеративная миелопатия  (DM Eх2)                                       </t>
  </si>
  <si>
    <t xml:space="preserve">Басенджи Синдром Фанкони Прогрессирующая атрофия сетчатки басенджи (bas-PRA) </t>
  </si>
  <si>
    <t xml:space="preserve">Бернский зенненхунд Дегенеративная миелопатия (DM Ex1-Ex2) Болезнь фон Виллебранда 1-го типа                         </t>
  </si>
  <si>
    <t xml:space="preserve">Восточноевропейская овчарка/Белая швейцарская овчарка/Немецкая овчарка Дегенеративная миелопатия (DM Ex2) Злокачественная гипертермия Чувствительность к лекарственным препаратам </t>
  </si>
  <si>
    <t>Джек Рассел/Парсон Рассел Терьер Спиноцеребеллярная атаксия с миокимией и/или судорогами Поздняя мозжечковая атаксия</t>
  </si>
  <si>
    <t xml:space="preserve">Ирландский волкодав Дилатацинная кардиомиопатия ирландских волкодавов Длина шерсти                              </t>
  </si>
  <si>
    <t xml:space="preserve">Кавалер кинг чарльз спаниель Синдром эпизодического падения Синдром сухого глаза и курчавошерстности           </t>
  </si>
  <si>
    <t>Кане-Корсо Дегенеративная миелопатия (DM Ex2) Гиперурикозурия Мультифокальная ретинопатия</t>
  </si>
  <si>
    <t xml:space="preserve">Керри-блю терьер Болезнь фон Виллебранда 1-го типа Дегенеративная миелопатия (DM Ex2)                                                 </t>
  </si>
  <si>
    <t>Колли/Шелти Дегенеративная миелопатия (DM Ex2) Аномалия глаз колли Чувствительность к лекарственным препаратам</t>
  </si>
  <si>
    <t xml:space="preserve">Курчавошерстный ретривер Коллапс, вызываемый физическими нагрузками Прогрессирующая атрофия сетчатки PRA-cord1 Гликогеноз IIIa                                               </t>
  </si>
  <si>
    <t xml:space="preserve">Миниатюрный бультерьер Поликистоз почек бультерьеров Первичный вывих хрусталика                                            </t>
  </si>
  <si>
    <t xml:space="preserve">Мопс Наследственный энцефалит мопсов Дегенеративная миелопатия (DM Ex2) Первичный вывих хрусталика                                          </t>
  </si>
  <si>
    <t>Ньюфаундленд Цистинурия Дегенеративная миелопатия (DM Ex2) Гиперурикозурия</t>
  </si>
  <si>
    <t>Папийон/Фален Прогрессирующая атрофия сетчатки папильонов и фаленов pap-PRA Болезнь фон Виллебранда 1-го типа Нейроксальная дистрофия</t>
  </si>
  <si>
    <t xml:space="preserve">Русский черный терьер Гиперурикозурия Ювенильный паралич гортани/Полинейропатия              </t>
  </si>
  <si>
    <t>Русский черный терьер (расширенный) Гиперурикозурия Ювенильный паралич гортани/Полинейропатия Дегенеративная миелопатия (DM Ex2)</t>
  </si>
  <si>
    <t>Самоед  Дегенеративная миелопатия (DM Ex2) Чувствительность к лекарственным препаратам Прогрессирующая атрофия сетчатки XL-PRA1 Гиперурикозурия</t>
  </si>
  <si>
    <t>Сибирский хаски Прогрессирующая атрофия сетчатки XL-PRA1 Дегенеративная миелопатия  (DM Ex2) Чувствительность к медикаментам</t>
  </si>
  <si>
    <t xml:space="preserve">Спрингер спаниель Прогрессирующая атрофия сетчатки PRA-cord1 Дегенеративная миелопатия (DM Ex2) Гиперурикозурия 
Недостаточность фосфофруктокиназы </t>
  </si>
  <si>
    <t>Стаффордширский бультерьер L-2-гидроксиглутаровая ацидурия Стаффордширских бультерьеров (L2HGA) Наследственная катаракта (HSF4)</t>
  </si>
  <si>
    <t>Французский бульдог Мультифокальная ретинопатия  Наследственная катаракта Гиперурикозурия</t>
  </si>
  <si>
    <t>Французский бульдог (расширенный) Мультифокальная ретинопатия Наследственная катаракта Гиперурикозурия Врожденный гипотиреоз с зобом</t>
  </si>
  <si>
    <t>Энтленбухер зенненхунд Прогрессирующая атрофия сетчатки prcd-PRA Длина шерсти</t>
  </si>
  <si>
    <t>Генетические исследования кошек</t>
  </si>
  <si>
    <t xml:space="preserve">Сердолик (cornellian) курильских бобтейлов </t>
  </si>
  <si>
    <t>Врожденный миастенический синдром девон - рексов и сфинксов (CMS)</t>
  </si>
  <si>
    <t>Ганглиозидоз бурманских кошек (GM2)</t>
  </si>
  <si>
    <t>Черепно-лицевая дисплазия бурм (FND)</t>
  </si>
  <si>
    <t>Гликогеноз IV типа (Glycogen Storage Disease type IV, GSD IV). Породы: норвежская лесная кошка</t>
  </si>
  <si>
    <t xml:space="preserve">Британская короткошерстная /Шотландская (расширенный) Группа крови кошек Поликистоз почек Длина шерсти </t>
  </si>
  <si>
    <t>Бурманская кошка Ганглиозидоз бурманских кошек Гипокалиемия бурм Черепно-лицевая дисплазия бурм</t>
  </si>
  <si>
    <t xml:space="preserve">Ориентальная кошка Дефицит пируваткиназы Прогрессирующая атрофия сетчатки rdAc </t>
  </si>
  <si>
    <t>Ориентальная кошка расширенный Группа крови кошек Прогрессирующая атрофия сетчатки rdAc Дефицит пируваткиназы</t>
  </si>
  <si>
    <t xml:space="preserve">Экзотическая/Британская короткошерстная/Шотландская Группа крови кошек  Поликистоз почек Длина шерсти </t>
  </si>
  <si>
    <t>4.28</t>
  </si>
  <si>
    <t>Снятие конструкций:</t>
  </si>
  <si>
    <t>- наружные</t>
  </si>
  <si>
    <t>- пластины</t>
  </si>
  <si>
    <t>- суки мелкой породы (до 5 кг.)</t>
  </si>
  <si>
    <t>- суки средней породы (от 5 до 15 кг.)</t>
  </si>
  <si>
    <t>- суки крупной породы (от 15 до 30 кг.)</t>
  </si>
  <si>
    <t>- суки гигантской породы (от 30 кг.)</t>
  </si>
  <si>
    <t>Овариогистерэктомия (с учетом стоимости наркоза):</t>
  </si>
  <si>
    <t>Наложение кисетного шва (без седации)</t>
  </si>
  <si>
    <t>Вправление прямой кишки:</t>
  </si>
  <si>
    <t xml:space="preserve"> - простое</t>
  </si>
  <si>
    <t xml:space="preserve"> - сложное</t>
  </si>
  <si>
    <t>Определение пола</t>
  </si>
  <si>
    <t>Желчные кислоты (две пробы)</t>
  </si>
  <si>
    <t>Желчные кислоты (одна проба натощак)</t>
  </si>
  <si>
    <t>Желчные кислоты (одна проба после еды)</t>
  </si>
  <si>
    <t>Трипсиноподобная иммунореактивность сыворотки крови собак (Trypsin-Like Immunoreactivity, TLI)</t>
  </si>
  <si>
    <t xml:space="preserve">Кальций ионизированный </t>
  </si>
  <si>
    <t>Определение кетонов в крови тест-полоской</t>
  </si>
  <si>
    <t>D-димер</t>
  </si>
  <si>
    <t>Биохимический анализ крови на креатинин – IDEXX</t>
  </si>
  <si>
    <t>Биохимический анализ крови на мочевину – IDEXX</t>
  </si>
  <si>
    <t>Биохимический анализ крови на фенобарбитал – IDEXX</t>
  </si>
  <si>
    <t>Анализ на специфическую панкреатическую липазу – IDEXX:</t>
  </si>
  <si>
    <t>Соотношение белка и креатинина в моче для выявления ранней степени протеинурии – IDEXX</t>
  </si>
  <si>
    <t>Биохимический анализ крови на С-реактивный белок – IDEXX</t>
  </si>
  <si>
    <t>Биохимический анализ крови на общий билирубин – IDEXX</t>
  </si>
  <si>
    <t>Инфекционная анемия лососёвых методом ПЦР (с отсроченным предоставлением результатов)</t>
  </si>
  <si>
    <t>Инфекционный некроз гемопоэтической ткани методом ПЦР (с отсроченным предоставлением результатов)</t>
  </si>
  <si>
    <t>Вирусная геморрагическая септицемия методом ПЦР (с отсроченным предоставлением результатов)</t>
  </si>
  <si>
    <t>Парагрипп КРС методом ПЦР (с отсроченным предоставлением результатов)</t>
  </si>
  <si>
    <t>Орнитоз методом ПЦР (с отсроченным предоставлением результатов)</t>
  </si>
  <si>
    <t>Африканская чума свиней методом ПЦР (с отсроченным предоставлением результатов)</t>
  </si>
  <si>
    <t>Блютанг методом ПЦР (с отсроченным предоставлением результатов)</t>
  </si>
  <si>
    <t>Сибирская язва методом ПЦР (с отсроченным предоставлением результатов)</t>
  </si>
  <si>
    <t>Ринотрахеит методом ПЦР (с отсроченным предоставлением результатов)</t>
  </si>
  <si>
    <t>Грипп птиц ПЦР (с отсроченным предоставлением результатов)</t>
  </si>
  <si>
    <t>4.29</t>
  </si>
  <si>
    <t>Вирусная диарея КРС методом ПЦР (с отсроченным предоставлением результатов)</t>
  </si>
  <si>
    <t>Наложение эндопрол-сетки при грыжесечении</t>
  </si>
  <si>
    <t>Повторная резекция ушных раковин:</t>
  </si>
  <si>
    <t xml:space="preserve"> - собаки мелких и средних пород</t>
  </si>
  <si>
    <t xml:space="preserve"> - собаки крупных и гигантских пород</t>
  </si>
  <si>
    <t>Хирургическое лечение вывиха тазобедренного сустава:</t>
  </si>
  <si>
    <t xml:space="preserve"> - животное до 20 кг.</t>
  </si>
  <si>
    <t xml:space="preserve"> - животное свыше 21 кг.</t>
  </si>
  <si>
    <t>Остеосинтез пластинами LC</t>
  </si>
  <si>
    <t>Резекция головки бедра:</t>
  </si>
  <si>
    <t xml:space="preserve"> - животное до 5 кг.</t>
  </si>
  <si>
    <t xml:space="preserve"> - животное от 5 до 15 кг.</t>
  </si>
  <si>
    <t xml:space="preserve"> - животное свыше 15 кг.</t>
  </si>
  <si>
    <t>Оформление дубликата комплекта закрывающих бухгалтерских документов по заявлению:</t>
  </si>
  <si>
    <t xml:space="preserve"> - забрать лично</t>
  </si>
  <si>
    <t>1 комплект документов</t>
  </si>
  <si>
    <t xml:space="preserve"> - отправить по электронной почте</t>
  </si>
  <si>
    <t xml:space="preserve"> - отправить по Почте Россия</t>
  </si>
  <si>
    <t>Лабораторные исследования - Explana</t>
  </si>
  <si>
    <t>Лабораторные исследования – Vet Union</t>
  </si>
  <si>
    <t>Действует на ветеринарной станции по Петрозаводскому городскому округу и Прионежскому муниципальному району, Лахденпохской, Кондопожской и Костомукшской ветеринарной станции, Кемском ветеринарном участке, Пудожском ветеринарном пункте</t>
  </si>
  <si>
    <t>1. Исследование гемостаза</t>
  </si>
  <si>
    <t>2. Биохимические исследования крови</t>
  </si>
  <si>
    <t>3. Гормональные исследования</t>
  </si>
  <si>
    <t>4. Гормональные исследования хорьков</t>
  </si>
  <si>
    <t>5. Специфические белки</t>
  </si>
  <si>
    <t>6. Лекарственный мониторинг</t>
  </si>
  <si>
    <t>7. Экспресс-диагностика (качественный метод)</t>
  </si>
  <si>
    <t>8. Аллергология</t>
  </si>
  <si>
    <t>9. ИФА-диагностика</t>
  </si>
  <si>
    <t>10. Генетика окрасов собак</t>
  </si>
  <si>
    <t>11. Генетика признаков собак</t>
  </si>
  <si>
    <t>12. Генетика заболеваний собак</t>
  </si>
  <si>
    <t>13. Генотипирование</t>
  </si>
  <si>
    <t>14. Генетические комплексы для собак</t>
  </si>
  <si>
    <t>15. Генетика окрасов кошек</t>
  </si>
  <si>
    <t>16. Генетика признаков кошек</t>
  </si>
  <si>
    <t>17. Генетика заболеваний кошек</t>
  </si>
  <si>
    <t>18. Определение группы крови кошек</t>
  </si>
  <si>
    <t>19. Генетические комплексы для кошек</t>
  </si>
  <si>
    <t>20. Цитологические исследования</t>
  </si>
  <si>
    <t>21. Гистологические исследования</t>
  </si>
  <si>
    <t>22. Генетические исследования птиц</t>
  </si>
  <si>
    <t>2.5</t>
  </si>
  <si>
    <t>2.6</t>
  </si>
  <si>
    <t>10.8</t>
  </si>
  <si>
    <t>10.9</t>
  </si>
  <si>
    <t>12.39</t>
  </si>
  <si>
    <t>12.42</t>
  </si>
  <si>
    <t>12.43</t>
  </si>
  <si>
    <t>12.44</t>
  </si>
  <si>
    <t>12.45</t>
  </si>
  <si>
    <t>12.46</t>
  </si>
  <si>
    <t>12.47</t>
  </si>
  <si>
    <t>12.48</t>
  </si>
  <si>
    <t>12.49</t>
  </si>
  <si>
    <t>12.50</t>
  </si>
  <si>
    <t>12.51</t>
  </si>
  <si>
    <t>12.52</t>
  </si>
  <si>
    <t>12.53</t>
  </si>
  <si>
    <t>12.54</t>
  </si>
  <si>
    <t>12.55</t>
  </si>
  <si>
    <t>12.56</t>
  </si>
  <si>
    <t>12.57</t>
  </si>
  <si>
    <t>12.58</t>
  </si>
  <si>
    <t>12.59</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</si>
  <si>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</si>
  <si>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</si>
  <si>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</si>
  <si>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</si>
  <si>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</si>
  <si>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</si>
  <si>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</si>
  <si>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</si>
  <si>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</si>
  <si>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</si>
  <si>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</si>
  <si>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</si>
  <si>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</si>
  <si>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</si>
  <si>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</si>
  <si>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</si>
  <si>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</si>
  <si>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</si>
  <si>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</si>
  <si>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</si>
  <si>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</si>
  <si>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</si>
  <si>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</si>
  <si>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</si>
  <si>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</si>
  <si>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</si>
  <si>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</si>
  <si>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15.8</t>
  </si>
  <si>
    <t>15.9</t>
  </si>
  <si>
    <t>15.10</t>
  </si>
  <si>
    <t>15.11</t>
  </si>
  <si>
    <t>17.7</t>
  </si>
  <si>
    <t>17.8</t>
  </si>
  <si>
    <t>17.9</t>
  </si>
  <si>
    <t>17.10</t>
  </si>
  <si>
    <t>17.11</t>
  </si>
  <si>
    <t>17.12</t>
  </si>
  <si>
    <t>19.1</t>
  </si>
  <si>
    <t>19.2</t>
  </si>
  <si>
    <t>19.3</t>
  </si>
  <si>
    <t>19.4</t>
  </si>
  <si>
    <t>19.5</t>
  </si>
  <si>
    <t>19.6</t>
  </si>
  <si>
    <t>19.7</t>
  </si>
  <si>
    <t>19.8</t>
  </si>
  <si>
    <t>19.9</t>
  </si>
  <si>
    <t>20.1</t>
  </si>
  <si>
    <t>20.2</t>
  </si>
  <si>
    <t>21.1</t>
  </si>
  <si>
    <t>21.2</t>
  </si>
  <si>
    <t>21.3</t>
  </si>
  <si>
    <t>21.4</t>
  </si>
  <si>
    <t>21.5</t>
  </si>
  <si>
    <t>21.6</t>
  </si>
  <si>
    <t>21.7</t>
  </si>
  <si>
    <t>21.8</t>
  </si>
  <si>
    <t>21.9</t>
  </si>
  <si>
    <t>21.10</t>
  </si>
  <si>
    <t>21.11</t>
  </si>
  <si>
    <t>21.12</t>
  </si>
  <si>
    <t>21.13</t>
  </si>
  <si>
    <t>21.14</t>
  </si>
  <si>
    <t>21.15</t>
  </si>
  <si>
    <t>21.16</t>
  </si>
  <si>
    <t>21.17</t>
  </si>
  <si>
    <t>21.18</t>
  </si>
  <si>
    <t>21.19</t>
  </si>
  <si>
    <t>21.20</t>
  </si>
  <si>
    <t>22.1</t>
  </si>
  <si>
    <t>1. Гематология</t>
  </si>
  <si>
    <t>2. Исследования кала</t>
  </si>
  <si>
    <t>3. Биохимическое исследование крови</t>
  </si>
  <si>
    <t>4. Респираторные исследования (микроскопия)</t>
  </si>
  <si>
    <t>5. Цитологические исследования (микроскопия)</t>
  </si>
  <si>
    <t>6. Гистологическое исследование</t>
  </si>
  <si>
    <t>7. Исследования бактерий (ПЦР)</t>
  </si>
  <si>
    <t>8. Исследование вирусов (ПЦР)</t>
  </si>
  <si>
    <t>9. Исследования на гельминтов и простейших (ПЦР)</t>
  </si>
  <si>
    <t>10. Исследования на грибы (ПЦР)</t>
  </si>
  <si>
    <t>11. Исследования уровня гормонов</t>
  </si>
  <si>
    <t>12. Исследование антител (ИФА)</t>
  </si>
  <si>
    <t>13. Аллергены простой группы</t>
  </si>
  <si>
    <t>14. Аллергены сложной группы</t>
  </si>
  <si>
    <t>15. Бактериологические исследования</t>
  </si>
  <si>
    <t>16. Профили</t>
  </si>
  <si>
    <t>3.18</t>
  </si>
  <si>
    <t>3.19</t>
  </si>
  <si>
    <t>3.20</t>
  </si>
  <si>
    <t>3.21</t>
  </si>
  <si>
    <t>3.22</t>
  </si>
  <si>
    <t>3.23</t>
  </si>
  <si>
    <t>3.24</t>
  </si>
  <si>
    <t>3.25</t>
  </si>
  <si>
    <t>3.26</t>
  </si>
  <si>
    <t>3.27</t>
  </si>
  <si>
    <t>3.28</t>
  </si>
  <si>
    <t>7.8</t>
  </si>
  <si>
    <t>7.9</t>
  </si>
  <si>
    <t>7.10</t>
  </si>
  <si>
    <t>7.11</t>
  </si>
  <si>
    <t>7.12</t>
  </si>
  <si>
    <t>7.13</t>
  </si>
  <si>
    <t>7.14</t>
  </si>
  <si>
    <t>7.15</t>
  </si>
  <si>
    <t>7.16</t>
  </si>
  <si>
    <t>7.17</t>
  </si>
  <si>
    <t>7.18</t>
  </si>
  <si>
    <t>7.19</t>
  </si>
  <si>
    <t>7.20</t>
  </si>
  <si>
    <t>7.21</t>
  </si>
  <si>
    <t>7.22</t>
  </si>
  <si>
    <t>7.23</t>
  </si>
  <si>
    <t>7.24</t>
  </si>
  <si>
    <t>7.25</t>
  </si>
  <si>
    <t>7.26</t>
  </si>
  <si>
    <t>8.7</t>
  </si>
  <si>
    <t>8.8</t>
  </si>
  <si>
    <t>8.9</t>
  </si>
  <si>
    <t>8.10</t>
  </si>
  <si>
    <t>8.11</t>
  </si>
  <si>
    <t>8.12</t>
  </si>
  <si>
    <t>8.13</t>
  </si>
  <si>
    <t>8.14</t>
  </si>
  <si>
    <t>8.15</t>
  </si>
  <si>
    <t>8.16</t>
  </si>
  <si>
    <t>8.17</t>
  </si>
  <si>
    <t>8.18</t>
  </si>
  <si>
    <t>8.19</t>
  </si>
  <si>
    <t>8.20</t>
  </si>
  <si>
    <t>8.21</t>
  </si>
  <si>
    <t>8.22</t>
  </si>
  <si>
    <t>8.23</t>
  </si>
  <si>
    <t>8.24</t>
  </si>
  <si>
    <t>8.25</t>
  </si>
  <si>
    <t>8.26</t>
  </si>
  <si>
    <t>8.27</t>
  </si>
  <si>
    <t>11.7</t>
  </si>
  <si>
    <t>11.8</t>
  </si>
  <si>
    <t>11.9</t>
  </si>
  <si>
    <t>11.10</t>
  </si>
  <si>
    <t>11.11</t>
  </si>
  <si>
    <t>13.32</t>
  </si>
  <si>
    <t>13.33</t>
  </si>
  <si>
    <t>13.34</t>
  </si>
  <si>
    <t>13.35</t>
  </si>
  <si>
    <t>13.36</t>
  </si>
  <si>
    <t>13.37</t>
  </si>
  <si>
    <t>13.38</t>
  </si>
  <si>
    <t>13.39</t>
  </si>
  <si>
    <t>13.40</t>
  </si>
  <si>
    <t>13.41</t>
  </si>
  <si>
    <t>13.42</t>
  </si>
  <si>
    <t>13.43</t>
  </si>
  <si>
    <t>13.44</t>
  </si>
  <si>
    <t>13.45</t>
  </si>
  <si>
    <t>15.12</t>
  </si>
  <si>
    <t>15.13</t>
  </si>
  <si>
    <t>15.14</t>
  </si>
  <si>
    <t>15.15</t>
  </si>
  <si>
    <t>16.8</t>
  </si>
  <si>
    <t>7. Паразитологические исследования</t>
  </si>
  <si>
    <t>12. Исследование кормов, продовольственного сырья и пищевых продуктов</t>
  </si>
  <si>
    <t>14. Гидрохимические исследования</t>
  </si>
  <si>
    <t>15. Вскрытие животного</t>
  </si>
  <si>
    <t>17. Кремация трупов животных</t>
  </si>
  <si>
    <t>13.1. Исследование мяса (в том числе вынужденный убой), рыбы</t>
  </si>
  <si>
    <t>13.2. Исследование молока</t>
  </si>
  <si>
    <t>13.3. Исследование меда</t>
  </si>
  <si>
    <t>13.1.1</t>
  </si>
  <si>
    <t>13.1.2</t>
  </si>
  <si>
    <t>13.1.3</t>
  </si>
  <si>
    <t>13.1.4</t>
  </si>
  <si>
    <t>13.1.5</t>
  </si>
  <si>
    <t>13.1.6</t>
  </si>
  <si>
    <t>13.1.7</t>
  </si>
  <si>
    <t>13.1.8</t>
  </si>
  <si>
    <t>13.1.9</t>
  </si>
  <si>
    <t>13.1.10</t>
  </si>
  <si>
    <t>13.1.11</t>
  </si>
  <si>
    <t>13.1.12</t>
  </si>
  <si>
    <t>13.1.13</t>
  </si>
  <si>
    <t>13.1.14</t>
  </si>
  <si>
    <t>13.1.15</t>
  </si>
  <si>
    <t>13.1.16</t>
  </si>
  <si>
    <t>13.1.17</t>
  </si>
  <si>
    <t>13.1.18</t>
  </si>
  <si>
    <t>13.1.19</t>
  </si>
  <si>
    <t>13.1.20</t>
  </si>
  <si>
    <t>13.1.21</t>
  </si>
  <si>
    <t>13.2.1</t>
  </si>
  <si>
    <t>13.2.2</t>
  </si>
  <si>
    <t>13.2.3</t>
  </si>
  <si>
    <t>13.2.4</t>
  </si>
  <si>
    <t>13.2.5</t>
  </si>
  <si>
    <t>13.2.6</t>
  </si>
  <si>
    <t>13.2.7</t>
  </si>
  <si>
    <t>13.2.8</t>
  </si>
  <si>
    <t>13.2.9</t>
  </si>
  <si>
    <t>13.2.10</t>
  </si>
  <si>
    <t>13.2.11</t>
  </si>
  <si>
    <t>13.2.12</t>
  </si>
  <si>
    <t>13.3.1</t>
  </si>
  <si>
    <t>13.3.2</t>
  </si>
  <si>
    <t>13.3.3</t>
  </si>
  <si>
    <t>13.3.4</t>
  </si>
  <si>
    <t>13.3.5</t>
  </si>
  <si>
    <t>13.3.6</t>
  </si>
  <si>
    <t>13.3.7</t>
  </si>
  <si>
    <t>13.3.8</t>
  </si>
  <si>
    <t>13.3.9</t>
  </si>
  <si>
    <t>13.3.10</t>
  </si>
  <si>
    <t>Лептоспироз РМА</t>
  </si>
  <si>
    <t>16.9</t>
  </si>
  <si>
    <t>1.5. Прочие услуги</t>
  </si>
  <si>
    <t>Офтальмоскопия</t>
  </si>
  <si>
    <t>1. Исследования</t>
  </si>
  <si>
    <t>2. Серологические исследования продуктивных животных (с доставкой)</t>
  </si>
  <si>
    <t>3. Серологические исследования непродуктивных животных (с доставкой)</t>
  </si>
  <si>
    <t>4. Копрологические исследования (с доставкой)</t>
  </si>
  <si>
    <t>5. Лабораторные исследования (Медвежьегорский ветеринарный участок)</t>
  </si>
  <si>
    <t>6. Лабораторные исследования – IDEXX</t>
  </si>
  <si>
    <t>Запись рентгенографического снимка на CD диск</t>
  </si>
  <si>
    <t>Биркование непродуктивных животных</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</si>
  <si>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</si>
  <si>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</si>
  <si>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</si>
  <si>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</si>
  <si>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</si>
  <si>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</si>
  <si>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</si>
  <si>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</si>
  <si>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</si>
  <si>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</si>
  <si>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</si>
  <si>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</si>
  <si>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</si>
  <si>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</si>
  <si>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</si>
  <si>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</si>
  <si>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</si>
  <si>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</si>
  <si>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</si>
  <si>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</si>
  <si>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</si>
  <si>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</si>
  <si>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</si>
  <si>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</si>
  <si>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</si>
  <si>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</si>
  <si>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</si>
  <si>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</si>
  <si>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</si>
  <si>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</si>
  <si>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</si>
  <si>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</si>
  <si>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</si>
  <si>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</si>
  <si>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</si>
  <si>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</si>
  <si>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</si>
  <si>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</si>
  <si>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</si>
  <si>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</si>
  <si>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</si>
  <si>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</si>
  <si>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</si>
  <si>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</si>
  <si>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</si>
  <si>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</si>
  <si>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</si>
  <si>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</si>
  <si>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</si>
  <si>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</si>
  <si>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</si>
  <si>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</si>
  <si>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</si>
  <si>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</si>
  <si>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</si>
  <si>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</si>
  <si>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</si>
  <si>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</si>
  <si>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</si>
  <si>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</si>
  <si>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1.1.15.1</t>
  </si>
  <si>
    <t>1.1.15.2</t>
  </si>
  <si>
    <t>1.1.15.3</t>
  </si>
  <si>
    <t>1.1.15.4</t>
  </si>
  <si>
    <t>1.1.15.5</t>
  </si>
  <si>
    <t>1.1.15.6</t>
  </si>
  <si>
    <t>1.1.15.7</t>
  </si>
  <si>
    <t>1.1.15.8</t>
  </si>
  <si>
    <t>1.1.15.9</t>
  </si>
  <si>
    <t>1.1.15.10</t>
  </si>
  <si>
    <t>1.1.15.11</t>
  </si>
  <si>
    <t>1.1.15.12</t>
  </si>
  <si>
    <t>1.1.15.13</t>
  </si>
  <si>
    <t>1.1.15.14</t>
  </si>
  <si>
    <t>1.1.15.1.1</t>
  </si>
  <si>
    <t>1.1.15.1.2</t>
  </si>
  <si>
    <t>1.1.15.1.3</t>
  </si>
  <si>
    <t>1.1.15.1.4</t>
  </si>
  <si>
    <t>1.1.15.2.1</t>
  </si>
  <si>
    <t>1.1.15.2.2</t>
  </si>
  <si>
    <t>1.1.15.2.3</t>
  </si>
  <si>
    <t>1.1.15.2.4</t>
  </si>
  <si>
    <t>1.1.15.2.5</t>
  </si>
  <si>
    <t>1.1.15.2.6</t>
  </si>
  <si>
    <t>1.1.15.2.7</t>
  </si>
  <si>
    <t>1.1.15.3.1</t>
  </si>
  <si>
    <t>1.1.15.3.2</t>
  </si>
  <si>
    <t>1.1.15.3.3</t>
  </si>
  <si>
    <t>1.1.15.3.4</t>
  </si>
  <si>
    <t>1.1.15.3.5</t>
  </si>
  <si>
    <t>1.1.15.3.6</t>
  </si>
  <si>
    <t>1.1.15.3.7</t>
  </si>
  <si>
    <t>1.1.15.4.1</t>
  </si>
  <si>
    <t>1.1.15.4.2</t>
  </si>
  <si>
    <t>1.1.15.4.3</t>
  </si>
  <si>
    <t>1.1.15.4.4</t>
  </si>
  <si>
    <t>1.1.15.4.5</t>
  </si>
  <si>
    <t>1.1.15.4.6</t>
  </si>
  <si>
    <t>1.1.15.4.7</t>
  </si>
  <si>
    <t>1.1.15.5.1</t>
  </si>
  <si>
    <t>1.1.15.5.2</t>
  </si>
  <si>
    <t>1.1.15.5.3</t>
  </si>
  <si>
    <t>1.1.15.5.4</t>
  </si>
  <si>
    <t>1.1.15.5.5</t>
  </si>
  <si>
    <t>1.1.15.5.6</t>
  </si>
  <si>
    <t>1.1.15.6.1</t>
  </si>
  <si>
    <t>1.1.15.6.2</t>
  </si>
  <si>
    <t>1.1.15.6.3</t>
  </si>
  <si>
    <t>1.1.15.6.4</t>
  </si>
  <si>
    <t>1.1.15.7.1</t>
  </si>
  <si>
    <t>1.1.15.7.2</t>
  </si>
  <si>
    <t>1.1.15.7.3</t>
  </si>
  <si>
    <t>1.1.15.11.1</t>
  </si>
  <si>
    <t>1.1.15.11.2</t>
  </si>
  <si>
    <t>1.1.15.11.3</t>
  </si>
  <si>
    <t>1.1.15.11.4</t>
  </si>
  <si>
    <t>1.1.15.11.5</t>
  </si>
  <si>
    <t>1.1.15.11.6</t>
  </si>
  <si>
    <t>1.1.15.12.1</t>
  </si>
  <si>
    <t>1.1.15.12.2</t>
  </si>
  <si>
    <t>1.1.15.12.3</t>
  </si>
  <si>
    <t>1.1.15.13.1</t>
  </si>
  <si>
    <t>1.1.15.13.2</t>
  </si>
  <si>
    <t>1.1.15.13.3</t>
  </si>
  <si>
    <t>1.1.15.14.1</t>
  </si>
  <si>
    <t>1.1.15.14.2</t>
  </si>
  <si>
    <t>1.1.15.14.3</t>
  </si>
  <si>
    <t>1.1.15.14.4</t>
  </si>
  <si>
    <t>1.1.15.14.5</t>
  </si>
  <si>
    <t>1.1.15.15</t>
  </si>
  <si>
    <t>1.1.16.1</t>
  </si>
  <si>
    <t>1.1.16.2</t>
  </si>
  <si>
    <t>1.1.16.3</t>
  </si>
  <si>
    <t>1.1.16.4</t>
  </si>
  <si>
    <t xml:space="preserve"> - Биокан:</t>
  </si>
  <si>
    <t xml:space="preserve"> - Биофел:</t>
  </si>
  <si>
    <t>1.1.60.1</t>
  </si>
  <si>
    <t>1.1.60.2</t>
  </si>
  <si>
    <t>1.1.60.3</t>
  </si>
  <si>
    <t xml:space="preserve"> - химиотерапевтического назначения (доцетаксел сандоз):</t>
  </si>
  <si>
    <t>1.2.1</t>
  </si>
  <si>
    <t>1.2.2</t>
  </si>
  <si>
    <t>1.2.3</t>
  </si>
  <si>
    <t>1.2.4</t>
  </si>
  <si>
    <t>1.2.5</t>
  </si>
  <si>
    <t>1.2.6</t>
  </si>
  <si>
    <t>1.2.7</t>
  </si>
  <si>
    <t>1.2.8</t>
  </si>
  <si>
    <t>1.2.9</t>
  </si>
  <si>
    <t>1.2.10</t>
  </si>
  <si>
    <t>1.2.11</t>
  </si>
  <si>
    <t>1.2.1.1</t>
  </si>
  <si>
    <t>1.2.1.2</t>
  </si>
  <si>
    <t>1.2.1.3</t>
  </si>
  <si>
    <t>1.2.1.4</t>
  </si>
  <si>
    <t>1.2.2.1</t>
  </si>
  <si>
    <t>1.2.2.2</t>
  </si>
  <si>
    <t>1.2.2.3</t>
  </si>
  <si>
    <t>1.2.2.4</t>
  </si>
  <si>
    <t>1.2.4.1</t>
  </si>
  <si>
    <t>1.2.4.2</t>
  </si>
  <si>
    <t>1.2.11.1</t>
  </si>
  <si>
    <t>1.2.11.2</t>
  </si>
  <si>
    <t>1.3.1</t>
  </si>
  <si>
    <t>1.3.2</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</si>
  <si>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</si>
  <si>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</si>
  <si>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</si>
  <si>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</si>
  <si>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</si>
  <si>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</si>
  <si>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</si>
  <si>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</si>
  <si>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</si>
  <si>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</si>
  <si>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</si>
  <si>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</si>
  <si>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</si>
  <si>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</si>
  <si>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</si>
  <si>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</si>
  <si>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</si>
  <si>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</si>
  <si>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</si>
  <si>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</si>
  <si>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</si>
  <si>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</si>
  <si>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</si>
  <si>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</si>
  <si>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</si>
  <si>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</si>
  <si>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</si>
  <si>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</si>
  <si>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</si>
  <si>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</si>
  <si>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</si>
  <si>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</si>
  <si>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</si>
  <si>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</si>
  <si>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</si>
  <si>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</si>
  <si>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</si>
  <si>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</si>
  <si>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</si>
  <si>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</si>
  <si>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</si>
  <si>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</si>
  <si>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</si>
  <si>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</si>
  <si>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</si>
  <si>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</si>
  <si>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</si>
  <si>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</si>
  <si>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</si>
  <si>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</si>
  <si>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</si>
  <si>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</si>
  <si>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</si>
  <si>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</si>
  <si>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</si>
  <si>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</si>
  <si>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</si>
  <si>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</si>
  <si>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</si>
  <si>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</si>
  <si>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</si>
  <si>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</si>
  <si>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</si>
  <si>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</si>
  <si>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</si>
  <si>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</si>
  <si>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</si>
  <si>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</si>
  <si>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</si>
  <si>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</si>
  <si>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</si>
  <si>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</si>
  <si>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</si>
  <si>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</si>
  <si>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</si>
  <si>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</si>
  <si>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</si>
  <si>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</si>
  <si>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</si>
  <si>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1.3.1.1</t>
  </si>
  <si>
    <t>1.3.1.2</t>
  </si>
  <si>
    <t>1.3.1.3</t>
  </si>
  <si>
    <t>1.3.1.4</t>
  </si>
  <si>
    <t>1.3.2.1</t>
  </si>
  <si>
    <t>1.3.2.2</t>
  </si>
  <si>
    <t>1.3.9.1</t>
  </si>
  <si>
    <t>1.3.9.2</t>
  </si>
  <si>
    <t>1.3.9.3</t>
  </si>
  <si>
    <t>1.3.9.4</t>
  </si>
  <si>
    <t>1.3.10.1</t>
  </si>
  <si>
    <t>1.3.10.2</t>
  </si>
  <si>
    <t>1.3.10.3</t>
  </si>
  <si>
    <t>1.3.10.4</t>
  </si>
  <si>
    <t>1.3.16.1</t>
  </si>
  <si>
    <t>1.3.16.2</t>
  </si>
  <si>
    <t>1.3.17.1</t>
  </si>
  <si>
    <t>1.3.17.2</t>
  </si>
  <si>
    <t>1.3.27.1</t>
  </si>
  <si>
    <t>1.3.27.2</t>
  </si>
  <si>
    <t>1.3.33.1</t>
  </si>
  <si>
    <t>1.3.33.2</t>
  </si>
  <si>
    <t>1.3.33.3</t>
  </si>
  <si>
    <t>1.3.35.1</t>
  </si>
  <si>
    <t>1.3.35.2</t>
  </si>
  <si>
    <t>1.3.35.3</t>
  </si>
  <si>
    <t>1.3.36.1</t>
  </si>
  <si>
    <t>1.3.36.2</t>
  </si>
  <si>
    <t>1.3.36.3</t>
  </si>
  <si>
    <t>1.3.38.1</t>
  </si>
  <si>
    <t>1.3.38.2</t>
  </si>
  <si>
    <t>1.3.39.1</t>
  </si>
  <si>
    <t>1.3.39.2</t>
  </si>
  <si>
    <t>1.3.40.1</t>
  </si>
  <si>
    <t>1.3.40.2</t>
  </si>
  <si>
    <t>1.3.40.3</t>
  </si>
  <si>
    <t>1.3.40.4</t>
  </si>
  <si>
    <t>1.3.40.5</t>
  </si>
  <si>
    <t>1.3.40.6</t>
  </si>
  <si>
    <t>1.3.40.7</t>
  </si>
  <si>
    <t>1.3.41.1</t>
  </si>
  <si>
    <t>1.3.41.2</t>
  </si>
  <si>
    <t>1.3.44.1</t>
  </si>
  <si>
    <t>1.3.44.2</t>
  </si>
  <si>
    <t>1.3.45.1</t>
  </si>
  <si>
    <t>1.3.45.2</t>
  </si>
  <si>
    <t>1.3.46.1</t>
  </si>
  <si>
    <t>1.3.46.2</t>
  </si>
  <si>
    <t>1.3.47.1</t>
  </si>
  <si>
    <t>1.3.47.2</t>
  </si>
  <si>
    <t>1.3.48.1</t>
  </si>
  <si>
    <t>1.3.48.2</t>
  </si>
  <si>
    <t>1.3.50.1</t>
  </si>
  <si>
    <t>1.3.50.2</t>
  </si>
  <si>
    <t>1.3.53.1</t>
  </si>
  <si>
    <t>1.3.53.2</t>
  </si>
  <si>
    <t>1.3.56.1</t>
  </si>
  <si>
    <t>1.3.56.2</t>
  </si>
  <si>
    <t>1.3.59.1</t>
  </si>
  <si>
    <t>1.3.59.2</t>
  </si>
  <si>
    <t>1.3.62.1</t>
  </si>
  <si>
    <t>1.3.62.2</t>
  </si>
  <si>
    <t>1.3.62.3</t>
  </si>
  <si>
    <t>1.3.63.1</t>
  </si>
  <si>
    <t>1.3.63.2</t>
  </si>
  <si>
    <t>1.3.63.3</t>
  </si>
  <si>
    <t>1.3.73.1</t>
  </si>
  <si>
    <t>1.3.73.2</t>
  </si>
  <si>
    <t>1.3.74.1</t>
  </si>
  <si>
    <t>1.3.74.2</t>
  </si>
  <si>
    <t>1.3.76.1</t>
  </si>
  <si>
    <t>1.3.76.2</t>
  </si>
  <si>
    <t>1.3.78.1</t>
  </si>
  <si>
    <t>1.3.78.2</t>
  </si>
  <si>
    <t>1.3.79.1</t>
  </si>
  <si>
    <t>1.3.79.2</t>
  </si>
  <si>
    <t>1.4.1</t>
  </si>
  <si>
    <t>1.4.2</t>
  </si>
  <si>
    <t>1.4.3</t>
  </si>
  <si>
    <t>1.4.4</t>
  </si>
  <si>
    <t>1.4.5</t>
  </si>
  <si>
    <t>1.4.6</t>
  </si>
  <si>
    <t>1.5.3</t>
  </si>
  <si>
    <t>1.5.4</t>
  </si>
  <si>
    <t>1.5.5</t>
  </si>
  <si>
    <t>1.5.6</t>
  </si>
  <si>
    <t>1.5.7</t>
  </si>
  <si>
    <t>1.5.8</t>
  </si>
  <si>
    <t>1.5.9</t>
  </si>
  <si>
    <t>1.5.10</t>
  </si>
  <si>
    <t>1.5.11</t>
  </si>
  <si>
    <t>1.5.13</t>
  </si>
  <si>
    <t>1.5.14</t>
  </si>
  <si>
    <t>1.5.15</t>
  </si>
  <si>
    <t>1.5.16</t>
  </si>
  <si>
    <t>1.5.17</t>
  </si>
  <si>
    <t>1.5.18</t>
  </si>
  <si>
    <t>1.5.19</t>
  </si>
  <si>
    <t>1.5.20</t>
  </si>
  <si>
    <t>1.5.21</t>
  </si>
  <si>
    <t>1.5.7.1</t>
  </si>
  <si>
    <t>1.5.7.2</t>
  </si>
  <si>
    <t>1.5.7.3</t>
  </si>
  <si>
    <t>1.5.7.4</t>
  </si>
  <si>
    <t>1.5.7.5</t>
  </si>
  <si>
    <t>1.5.8.1</t>
  </si>
  <si>
    <t>1.5.8.2</t>
  </si>
  <si>
    <t>1.5.9.1</t>
  </si>
  <si>
    <t>1.5.9.2</t>
  </si>
  <si>
    <t>1.5.9.3</t>
  </si>
  <si>
    <t>1.5.9.4</t>
  </si>
  <si>
    <t>1.5.10.1</t>
  </si>
  <si>
    <t>1.5.10.2</t>
  </si>
  <si>
    <t>1.5.21.1</t>
  </si>
  <si>
    <t>1.5.21.2</t>
  </si>
  <si>
    <t>1.5.21.3</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</si>
  <si>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</si>
  <si>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</si>
  <si>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</si>
  <si>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</si>
  <si>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</si>
  <si>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</si>
  <si>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</si>
  <si>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</si>
  <si>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</si>
  <si>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</si>
  <si>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</si>
  <si>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</si>
  <si>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</si>
  <si>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</si>
  <si>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</si>
  <si>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</si>
  <si>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</si>
  <si>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</si>
  <si>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</si>
  <si>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</si>
  <si>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</si>
  <si>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</si>
  <si>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</si>
  <si>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</si>
  <si>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</si>
  <si>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</si>
  <si>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</si>
  <si>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</si>
  <si>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</si>
  <si>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</si>
  <si>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</si>
  <si>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</si>
  <si>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</si>
  <si>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</si>
  <si>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</si>
  <si>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</si>
  <si>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</si>
  <si>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</si>
  <si>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</si>
  <si>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</si>
  <si>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</si>
  <si>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</si>
  <si>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</si>
  <si>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</si>
  <si>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</si>
  <si>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</si>
  <si>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</si>
  <si>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</si>
  <si>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</si>
  <si>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</si>
  <si>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</si>
  <si>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</si>
  <si>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</si>
  <si>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2.6.1</t>
  </si>
  <si>
    <t>2.6.2</t>
  </si>
  <si>
    <t>2.6.3</t>
  </si>
  <si>
    <t>2.6.4</t>
  </si>
  <si>
    <t>2.6.5</t>
  </si>
  <si>
    <t>2.6.6</t>
  </si>
  <si>
    <t>2.6.7</t>
  </si>
  <si>
    <t>2.24.1</t>
  </si>
  <si>
    <t>2.24.2</t>
  </si>
  <si>
    <t>2.26.1</t>
  </si>
  <si>
    <t>2.26.2</t>
  </si>
  <si>
    <t>2.27.1</t>
  </si>
  <si>
    <t>2.27.2</t>
  </si>
  <si>
    <t>2.32.1</t>
  </si>
  <si>
    <t>2.32.2</t>
  </si>
  <si>
    <t>2.35.1</t>
  </si>
  <si>
    <t>2.35.2</t>
  </si>
  <si>
    <t>2.35.3</t>
  </si>
  <si>
    <t>2.35.4</t>
  </si>
  <si>
    <t>2.35.5</t>
  </si>
  <si>
    <t>2.47.1</t>
  </si>
  <si>
    <t>2.47.2</t>
  </si>
  <si>
    <t>2.47.3</t>
  </si>
  <si>
    <t>2.48.1</t>
  </si>
  <si>
    <t>2.48.2</t>
  </si>
  <si>
    <t>2.48.3</t>
  </si>
  <si>
    <t>2.49.1</t>
  </si>
  <si>
    <t>2.49.2</t>
  </si>
  <si>
    <t>2.49.3</t>
  </si>
  <si>
    <t>2.49.4</t>
  </si>
  <si>
    <t>2.49.5</t>
  </si>
  <si>
    <t>2.50.1</t>
  </si>
  <si>
    <t>2.50.2</t>
  </si>
  <si>
    <t>2.50.3</t>
  </si>
  <si>
    <t>2.50.4</t>
  </si>
  <si>
    <t>2.52.1</t>
  </si>
  <si>
    <t>2.52.2</t>
  </si>
  <si>
    <t>3.1.1</t>
  </si>
  <si>
    <t>3.1.2</t>
  </si>
  <si>
    <t>3.1.3</t>
  </si>
  <si>
    <t>3.1.4</t>
  </si>
  <si>
    <t>3.3.1</t>
  </si>
  <si>
    <t>3.3.2</t>
  </si>
  <si>
    <t>3.3.3</t>
  </si>
  <si>
    <t>3.3.4</t>
  </si>
  <si>
    <t>3.3.5</t>
  </si>
  <si>
    <t>3.4.1</t>
  </si>
  <si>
    <t>3.4.2</t>
  </si>
  <si>
    <t>3.4.3</t>
  </si>
  <si>
    <t>3.4.4</t>
  </si>
  <si>
    <t>3.4.5</t>
  </si>
  <si>
    <t>3.4.6</t>
  </si>
  <si>
    <t>3.4.7</t>
  </si>
  <si>
    <t>4.5.1</t>
  </si>
  <si>
    <t>4.5.2</t>
  </si>
  <si>
    <t>4.5.3</t>
  </si>
  <si>
    <t>4.5.4</t>
  </si>
  <si>
    <t>4.5.5</t>
  </si>
  <si>
    <t>4.5.6</t>
  </si>
  <si>
    <t>4.5.7</t>
  </si>
  <si>
    <t>4.8.1</t>
  </si>
  <si>
    <t>4.8.2</t>
  </si>
  <si>
    <t>4.12.1</t>
  </si>
  <si>
    <t>4.12.2</t>
  </si>
  <si>
    <t>4.12.3</t>
  </si>
  <si>
    <t>4.12.4</t>
  </si>
  <si>
    <t>4.12.5</t>
  </si>
  <si>
    <t>4.22.1</t>
  </si>
  <si>
    <t>4.22.2</t>
  </si>
  <si>
    <t>4.22.3</t>
  </si>
  <si>
    <t>4.22.4</t>
  </si>
  <si>
    <t>4.22.5</t>
  </si>
  <si>
    <t>4.22.6</t>
  </si>
  <si>
    <t>4.22.7</t>
  </si>
  <si>
    <t>4.22.8</t>
  </si>
  <si>
    <t>4.22.9</t>
  </si>
  <si>
    <t>4.22.10</t>
  </si>
  <si>
    <t>4.22.11</t>
  </si>
  <si>
    <t>4.22.12</t>
  </si>
  <si>
    <t>4.22.13</t>
  </si>
  <si>
    <t>4.22.14</t>
  </si>
  <si>
    <t>4.22.15</t>
  </si>
  <si>
    <t>4.22.16</t>
  </si>
  <si>
    <t>4.22.17</t>
  </si>
  <si>
    <t>кг.</t>
  </si>
  <si>
    <t>4.23.1</t>
  </si>
  <si>
    <t>4.23.2</t>
  </si>
  <si>
    <t>4.23.2.1</t>
  </si>
  <si>
    <t>4.23.2.2</t>
  </si>
  <si>
    <t>4.23.2.3</t>
  </si>
  <si>
    <t>4.23.2.4</t>
  </si>
  <si>
    <t>4.23.2.5</t>
  </si>
  <si>
    <t>4.23.2.6</t>
  </si>
  <si>
    <t>4.26.1</t>
  </si>
  <si>
    <t>4.26.2</t>
  </si>
  <si>
    <t>4.26.3</t>
  </si>
  <si>
    <t xml:space="preserve">Сибирская язва (реакция преципитации, микроскопическое исследование, бактериологическое исследование, биологическое исследование) </t>
  </si>
  <si>
    <t>Туберкулез (микроскопическое исследование, бактериологическое исследование, биологическое исследование)</t>
  </si>
  <si>
    <t>Исследование гуммированного остатка почвы на сибирскую язву  (микроскопическое исследование, бактериологическое исследование и биологическое исследование)</t>
  </si>
  <si>
    <t>Бруццелёз (исследование методом ИФА)</t>
  </si>
  <si>
    <t>Бруцеллёз  (исследование методом РА, РСК, РБП, РИД)</t>
  </si>
  <si>
    <t>Исследование объектов ветеринарного надзора в контрольных пунктах на содержание стронция-90 и цезия-137 спектрометрическим методом</t>
  </si>
  <si>
    <t>8 - 10 кг</t>
  </si>
  <si>
    <t>Краниомандибулярная остеопатия (CMO)
Породы: Австралийская овчарка, Вест-хайленд-уайт-терьер, Керн-терьер,  Ланкаширский хилер, Шотландский терьер</t>
  </si>
  <si>
    <t>Летальный акродерматит бультерьеров (LAD)
Породы: Бультерьер, Миниатюрный бультерьер</t>
  </si>
  <si>
    <t>1.7.1</t>
  </si>
  <si>
    <t>1.7.2</t>
  </si>
  <si>
    <t>1.7.3</t>
  </si>
  <si>
    <t>1.1.26.1</t>
  </si>
  <si>
    <t>1.1.26.2</t>
  </si>
  <si>
    <t>1.1.26.3</t>
  </si>
  <si>
    <t>1.1.26.4</t>
  </si>
  <si>
    <t>1.1.26.5</t>
  </si>
  <si>
    <t>1.1.26.6</t>
  </si>
  <si>
    <t>1.1.26.7</t>
  </si>
  <si>
    <t>1.1.26.8</t>
  </si>
  <si>
    <t>1.1.26.9</t>
  </si>
  <si>
    <t>1.1.26.10</t>
  </si>
  <si>
    <t>1.1.26.11</t>
  </si>
  <si>
    <t>1.1.36.8.1</t>
  </si>
  <si>
    <t>1.1.36.8.2</t>
  </si>
  <si>
    <t>1.1.55.1</t>
  </si>
  <si>
    <t>1.1.55.2</t>
  </si>
  <si>
    <t>1.1.55.3</t>
  </si>
  <si>
    <t>1.1.55.4</t>
  </si>
  <si>
    <t>1.1.57.1</t>
  </si>
  <si>
    <t>1.1.57.2</t>
  </si>
  <si>
    <t>Биохимический анализ крови на неорганический фосфор – IDEXX</t>
  </si>
  <si>
    <t>Биохимический анализ крови на 15 показателей (Общий профиль животных: ALB, ALB/GLOB, ALKP, ALT, BUN, BUN/CREA, Ca, CHOL, CREA, GGT, GLOB*, GLU, PHOS, TBIL, TP)</t>
  </si>
  <si>
    <t xml:space="preserve">Биохимический анализ крови на 6 показателей (Контроль применения НПВС: ALKP, ALT, AST, BUN, BUN/CREA, CREA) </t>
  </si>
  <si>
    <t>6.18</t>
  </si>
  <si>
    <t>6.19</t>
  </si>
  <si>
    <t>6.20</t>
  </si>
  <si>
    <t>6.17.1</t>
  </si>
  <si>
    <t>6.17.2</t>
  </si>
  <si>
    <t>6.21</t>
  </si>
  <si>
    <t>6.22</t>
  </si>
  <si>
    <t>6.23</t>
  </si>
  <si>
    <t>Биохимический анализ крови на кальций – IDEXX</t>
  </si>
  <si>
    <t>Биохимический анализ крови на общий белок – IDEXX</t>
  </si>
  <si>
    <t>Биохимический анализ крови на мочевая кислота – IDEXX</t>
  </si>
  <si>
    <t>Биохимический анализ крови на раннюю диагностику заболевания почек (SDMA) – IDEXX</t>
  </si>
  <si>
    <t>2.10.1</t>
  </si>
  <si>
    <t>Подкожные и внутримышечные инъекции:</t>
  </si>
  <si>
    <t xml:space="preserve"> - внутримышечное введение препарата кобактан 2,5%:</t>
  </si>
  <si>
    <t xml:space="preserve">   - лошади до 100 кг.</t>
  </si>
  <si>
    <t xml:space="preserve">   - лошади до 400 кг.</t>
  </si>
  <si>
    <t>2.10.1.1</t>
  </si>
  <si>
    <t>2.10.1.2</t>
  </si>
  <si>
    <t>2.10.1.3</t>
  </si>
  <si>
    <t>2.10.1.4</t>
  </si>
  <si>
    <t>Внутривенные инъекции:</t>
  </si>
  <si>
    <t>2.11.1</t>
  </si>
  <si>
    <t>2.11.1.1</t>
  </si>
  <si>
    <t>2.11.1.2</t>
  </si>
  <si>
    <t>2.11.2</t>
  </si>
  <si>
    <t>2.11.2.1</t>
  </si>
  <si>
    <t>2.11.2.2</t>
  </si>
  <si>
    <t xml:space="preserve"> - внутривенное введение препарата дюфалайт:</t>
  </si>
  <si>
    <t xml:space="preserve"> - внутривенное введение препарата метаболаза:</t>
  </si>
  <si>
    <t>Овариогистерэктомия беременных животных (с учетом стоимости наркоза):</t>
  </si>
  <si>
    <t xml:space="preserve"> - исследование мочи экспресс-методом, в том числе на IDEXX</t>
  </si>
  <si>
    <t>Обработка копыт:</t>
  </si>
  <si>
    <t>2.31.1</t>
  </si>
  <si>
    <t>2.31.2</t>
  </si>
  <si>
    <t xml:space="preserve">   - крупный рогатый скот до 50 кг. (телята)</t>
  </si>
  <si>
    <t xml:space="preserve">   - крупный рогатый скот до 400 кг.</t>
  </si>
  <si>
    <t>2.60</t>
  </si>
  <si>
    <t>Новокаиновая блокада вымени</t>
  </si>
  <si>
    <t>2.61</t>
  </si>
  <si>
    <t>Наложение гипса продуктивным животным:</t>
  </si>
  <si>
    <t>2.61.1</t>
  </si>
  <si>
    <t>2.61.2</t>
  </si>
  <si>
    <t>Определение активности радионуклеида - Цезий-137</t>
  </si>
  <si>
    <t>Определение активности радионуклеида - Стронций-90</t>
  </si>
  <si>
    <t>23. ПЦР-диагностика  инфекционных заболеваний  собак</t>
  </si>
  <si>
    <t>Аспергиллус (Aspergillus spp.) Соскоб эпителиальных клеток слизистой носовой полости</t>
  </si>
  <si>
    <t>Токсоплазма (Toxoplasma gondii) Соскоб эпителиальных клеток конъюнктивы</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</si>
  <si>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</si>
  <si>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</si>
  <si>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</si>
  <si>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</si>
  <si>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</si>
  <si>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</si>
  <si>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</si>
  <si>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</si>
  <si>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</si>
  <si>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</si>
  <si>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</si>
  <si>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</si>
  <si>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</si>
  <si>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</si>
  <si>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</si>
  <si>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</si>
  <si>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</si>
  <si>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</si>
  <si>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</si>
  <si>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</si>
  <si>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</si>
  <si>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</si>
  <si>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</si>
  <si>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</si>
  <si>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</si>
  <si>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</si>
  <si>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</si>
  <si>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</si>
  <si>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</si>
  <si>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</si>
  <si>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</si>
  <si>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</si>
  <si>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</si>
  <si>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</si>
  <si>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</si>
  <si>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</si>
  <si>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</si>
  <si>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</si>
  <si>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</si>
  <si>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</si>
  <si>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</si>
  <si>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</si>
  <si>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</si>
  <si>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</si>
  <si>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</si>
  <si>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</si>
  <si>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</si>
  <si>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</si>
  <si>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</si>
  <si>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</si>
  <si>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</si>
  <si>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</si>
  <si>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</si>
  <si>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</si>
  <si>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</si>
  <si>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</si>
  <si>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</si>
  <si>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</si>
  <si>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</si>
  <si>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</si>
  <si>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</si>
  <si>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</si>
  <si>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</si>
  <si>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</si>
  <si>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Аденовирус 2 типа (респираторный) (CAV 2) Соскоб эпителиальных клеток слизистой носовой полости</t>
  </si>
  <si>
    <t>Аденовирус 2 типа (респираторный) (CAV 2) Бронхоальвеолярный лаваж (ЭДТА)</t>
  </si>
  <si>
    <t>Аденовирус 1 типа (вирус гепатита собак) (CAV 1) Фекалии</t>
  </si>
  <si>
    <t>Аденовирус 1 типа (вирус гепатита собак) (CAV 1) Соскоб эпителиальных клеток слизистой прямой кишки</t>
  </si>
  <si>
    <t>Аденовирус 1 типа (вирус гепатита собак) (CAV 1) Моча</t>
  </si>
  <si>
    <t>Анаплазма (A. phagocytophilum и A.platys,  дифференциальная диагностика) Кровь (ЭДТА)</t>
  </si>
  <si>
    <t>Аспергиллус (Aspergillus spp.) Биоптат ткани</t>
  </si>
  <si>
    <t>Аспергиллус (Aspergillus spp.) Аспират ткани</t>
  </si>
  <si>
    <t>Бабезия (Babesia spp.) Кровь (ЭДТА)</t>
  </si>
  <si>
    <t>Бабезия Гибсона (Babesia gibsoni) Кровь (ЭДТА)</t>
  </si>
  <si>
    <t>Бордетелла (Bordetella bronchiseptica) Соскоб эпителиальных клеток слизистой носовой полости</t>
  </si>
  <si>
    <t>Вирус чумы плотоядных (CDV) Соскоб эпителиальных клеток конъюнктивы</t>
  </si>
  <si>
    <t>Вирус чумы плотоядных (CDV) Соскоб эпителиальных клеток слизистой носовой полости</t>
  </si>
  <si>
    <t>Вирус чумы плотоядных (CDV) Соскоб эпителиальных клеток слизистой прямой кишки</t>
  </si>
  <si>
    <t>Вирус чумы плотоядных (CDV) Фекалии</t>
  </si>
  <si>
    <t>Вирус чумы плотоядных (CDV) Ликвор</t>
  </si>
  <si>
    <t>Гемоплазма (Haemobartonella canis/Mycoplasma haemocanis) Кровь (ЭДТА)</t>
  </si>
  <si>
    <t>Гепатозоон (H. canis) Кровь (ЭДТА)</t>
  </si>
  <si>
    <t>Герпесвирус собак (CHV 1) Соскоб эпителиальных клеток слизистой носовой полости</t>
  </si>
  <si>
    <t>Герпесвирус собак (CHV 1) Биоптат ткани</t>
  </si>
  <si>
    <t>Герпесвирус собак (CHV 1) Соскоб эпителиальных клеток со слизистой влагалища</t>
  </si>
  <si>
    <t>Гиардиа (Giardia spp.) Соскоб эпителиальных клеток слизистой прямой кишки</t>
  </si>
  <si>
    <t>Дирофилярии (D. immitis и D. repens, дифференциальная диагностика) Кровь (ЭДТА)</t>
  </si>
  <si>
    <t>Клостридиальный энтеротоксин (Clostridium perfringens) Фекалии</t>
  </si>
  <si>
    <t>Криптококк (Cryptococcus spp.) Соскоб эпителиальных клеток слизистой носовой полости</t>
  </si>
  <si>
    <t>Криптоспоридии (Cryptosporidium spp.) Соскоб эпителиальных клеток слизистой прямой кишки</t>
  </si>
  <si>
    <t>Лептоспира (Leptospira spp.) Моча</t>
  </si>
  <si>
    <t>Лептоспира (Leptospira spp.) Биоптат ткани</t>
  </si>
  <si>
    <t>Микобактерия (Mycobacterium tuberculosis complex) Выпотная жидкость (ЭДТА)</t>
  </si>
  <si>
    <t>Микобактерия (Mycobacterium tuberculosis complex) Биоптат ткани</t>
  </si>
  <si>
    <t>Ротавирус (Rotavirus) Соскоб эпителиальных клеток слизистой прямой кишки</t>
  </si>
  <si>
    <t>Ротавирус (Rotavirus) Фекалии</t>
  </si>
  <si>
    <t>Сальмонелла (Salmonella spp.) Соскоб эпителиальных клеток слизистой прямой кишки</t>
  </si>
  <si>
    <t>Токсоплазма (Toxoplasma gondii) Соскоб эпителиальных клеток слизистой ротовой полости</t>
  </si>
  <si>
    <t>Токсоплазма (Toxoplasma gondii) Выпотная жидкость (ЭДТА)</t>
  </si>
  <si>
    <t>Хламидия (Сhlamydia spp.) Соскоб эпителиальных клеток слизистой носовой полости</t>
  </si>
  <si>
    <t>Хламидия (Сhlamydia spp.) Бронхоальвеолярный лаваж (ЭДТА)</t>
  </si>
  <si>
    <t>Эрлихия (E. canis) Кровь (ЭДТА)</t>
  </si>
  <si>
    <t>Вирус парагриппа (СPiV) Соскоб эпителиальных клеток слизистой носовой полости</t>
  </si>
  <si>
    <t>Вирус парагриппа (СPiV) Бронхоальвеолярный лаваж (ЭДТА)</t>
  </si>
  <si>
    <t>Кампилобактер (Campylobacter spp.) Фекалии</t>
  </si>
  <si>
    <t>Обнаружение ДНК микроспорум (Microsporum spp.) Шерсть</t>
  </si>
  <si>
    <t>24. ПЦР-диагностика. Профили для собак</t>
  </si>
  <si>
    <t>25. ПЦР-диагностика  инфекционных заболеваний  кошек</t>
  </si>
  <si>
    <t>26. ПЦР-диагностика. Профили для кошек</t>
  </si>
  <si>
    <t>27. ПЦР-диагностика  инфекционных заболеваний  хорьков</t>
  </si>
  <si>
    <t>28.  ПЦР-диагностика инфекционных заболеваний общих для разных видов животных (кроме собак и кошек)</t>
  </si>
  <si>
    <t>29.  ПЦР-профили для разных видов животных (кроме собак и кошек)</t>
  </si>
  <si>
    <t>30.  ПЦР-диагностика  клеща</t>
  </si>
  <si>
    <t>24.1</t>
  </si>
  <si>
    <t>24.2</t>
  </si>
  <si>
    <t>24.3</t>
  </si>
  <si>
    <t>24.4</t>
  </si>
  <si>
    <t>24.5</t>
  </si>
  <si>
    <t>24.6</t>
  </si>
  <si>
    <t>24.7</t>
  </si>
  <si>
    <t>24.8</t>
  </si>
  <si>
    <t>24.9</t>
  </si>
  <si>
    <t>24.10</t>
  </si>
  <si>
    <t>24.11</t>
  </si>
  <si>
    <t>Желудочно-кишечный профиль (парвовирус собак (CPV 2), коронавирус собак (CCoV 1), аденовирус 1 типа (вирус гепатита собак, CAV 1), вирус чумы плотоядных (CDV)) Соскоб эпителиальных клеток слизистой прямой кишки</t>
  </si>
  <si>
    <t>Желудочно-кишечный большой профиль (парвовирус собак (CPV 2), коронавирус собак (CCoV 1), аденовирус 1 типа (вирус гепатита собак, CAV 1), вирус чумы плотоядных (CDV), гиардиа (Giardia spp.), криптоспоридии (Cryptosporidium spp.)), ротавирус (Rotavirus), сальмонелла  (Salmonella spp.)) Соскоб эпителиальных клеток слизистой прямой кишки</t>
  </si>
  <si>
    <t>Желудочно-кишечный расширенный профиль собак  (парвовирус собак (CPV 2), коронавирус собак (CCoV 1), аденовирус 1 типа (вирус гепатита собак, CAV 1), вирус чумы плотоядных (CDV), гиардиа (Giardia spp.), криптоспоридии (Cryptosporidium spp.)), ротавирус (Rotavirus), сальмонелла  (Salmonella spp.), кампилобактер (Campylobacter spp.), Клостридиальный энтеротоксин (Clostridium perfringens)) Фекалии</t>
  </si>
  <si>
    <t>Кровепаразитарный малый профиль (анаплазма (A. phagocytophilum и A.platys), бабезия (Babesia spp.), эрлихия (E. canis)) Кровь (ЭДТА)</t>
  </si>
  <si>
    <r>
      <rPr>
        <sz val="12"/>
        <color indexed="8"/>
        <rFont val="Calibri"/>
        <family val="2"/>
        <charset val="204"/>
      </rPr>
      <t>Респираторный малый профиль</t>
    </r>
    <r>
      <rPr>
        <sz val="12"/>
        <rFont val="Calibri"/>
        <family val="2"/>
        <charset val="204"/>
      </rPr>
      <t xml:space="preserve"> (аденовирус 2 типа (респираторный) , бордетелла  (Вordetella bronchiseptica), парагрипп собак (СPiV)) Соскоб эпителиальных клеток слизистой носовой полости</t>
    </r>
  </si>
  <si>
    <r>
      <rPr>
        <sz val="12"/>
        <color indexed="8"/>
        <rFont val="Calibri"/>
        <family val="2"/>
        <charset val="204"/>
      </rPr>
      <t>Респираторный малый профиль</t>
    </r>
    <r>
      <rPr>
        <sz val="12"/>
        <rFont val="Calibri"/>
        <family val="2"/>
        <charset val="204"/>
      </rPr>
      <t xml:space="preserve"> (аденовирус 2 типа (респираторный) , бордетелла  (Вordetella bronchiseptica), вирус парагриппа (СPiV)) Бронхоальвеолярный лаваж </t>
    </r>
  </si>
  <si>
    <r>
      <rPr>
        <sz val="12"/>
        <color indexed="8"/>
        <rFont val="Calibri"/>
        <family val="2"/>
        <charset val="204"/>
      </rPr>
      <t>Респираторный большой профиль</t>
    </r>
    <r>
      <rPr>
        <sz val="12"/>
        <rFont val="Calibri"/>
        <family val="2"/>
        <charset val="204"/>
      </rPr>
      <t xml:space="preserve"> (аденовирус 2 типа (респираторный, (CAV 2), бордетелла  (Bordetella bronchiseptica), герпесирус собак (CHV 1), парагрипп собак (СPiV), микоплазма (M. cynos), хламидия (Сhlamydia spp.), вирус чумы плотоядных (CDV)) Соскоб эпителиальных клеток слизистой носовой полости</t>
    </r>
  </si>
  <si>
    <r>
      <rPr>
        <sz val="12"/>
        <color indexed="8"/>
        <rFont val="Calibri"/>
        <family val="2"/>
        <charset val="204"/>
      </rPr>
      <t>Желудочно-кишечный профиль</t>
    </r>
    <r>
      <rPr>
        <sz val="12"/>
        <rFont val="Calibri"/>
        <family val="2"/>
        <charset val="204"/>
      </rPr>
      <t xml:space="preserve"> (парвовирус собак (CPV 2), коронавирус собак (CCoV 1), аденовирус 1 типа (вирус гепатита собак, CAV 1), вирус чумы плотоядных (CDV)) Фекалии</t>
    </r>
  </si>
  <si>
    <r>
      <rPr>
        <sz val="12"/>
        <color indexed="8"/>
        <rFont val="Calibri"/>
        <family val="2"/>
        <charset val="204"/>
      </rPr>
      <t>Желудочно-кишечный большой профиль</t>
    </r>
    <r>
      <rPr>
        <sz val="12"/>
        <rFont val="Calibri"/>
        <family val="2"/>
        <charset val="204"/>
      </rPr>
      <t xml:space="preserve"> (парвовирус собак (CPV 2), коронавирус собак (CCoV 1), аденовирус 1 типа (вирус гепатита собак, CAV 1), вирус чумы плотоядных (CDV), гиардиа (Giardia spp.), криптоспоридии (Cryptosporidium spp.)), ротавирус (Rotavirus), сальмонелла (Salmonella spp.)) Фекалии</t>
    </r>
  </si>
  <si>
    <r>
      <t>Кровопаразитарный большой профиль</t>
    </r>
    <r>
      <rPr>
        <sz val="12"/>
        <color indexed="8"/>
        <rFont val="Calibri"/>
        <family val="2"/>
        <charset val="204"/>
      </rPr>
      <t xml:space="preserve"> (анаплазма (A. phagocytophilum и A.platys), бабезия (Babesia spp.), бабезия Гибсона (Babesia gibsoni), эрлихия (E. canis), гемоплазма (C.M. haemocanis)) Кровь (ЭДТА)</t>
    </r>
  </si>
  <si>
    <r>
      <t xml:space="preserve">Кровопаразитарный расширенный профиль </t>
    </r>
    <r>
      <rPr>
        <sz val="12"/>
        <color indexed="8"/>
        <rFont val="Calibri"/>
        <family val="2"/>
        <charset val="204"/>
      </rPr>
      <t>(анаплазма (A. phagocytophilum и A.platys), бабезия (Babesia spp.), бабезия Гибсона (Babesia gibsoni), эрлихия (E. canis), гемоплазма (C.M. haemocanis), гепатозоон (H. canis), лейшмания (Leishmania spp.), дирофилярии (D. immitis и D. repens)) Кровь (ЭДТА)</t>
    </r>
  </si>
  <si>
    <t>Аспергиллус (Aspergillus spp.) Бронхоальвеолярный лаваж (ЭДТА)</t>
  </si>
  <si>
    <t>Бордетелла (Bordetella bronchiseptica) Бронхоальвеолярный лаваж (ЭДТА)</t>
  </si>
  <si>
    <t>Вирус иммунодефицита (FIV, обнаружение провирусной ДНК) Кровь (ЭДТА)</t>
  </si>
  <si>
    <t>Вирус лейкемии (FeLV, обнаружение провирусной ДНК) Кровь (ЭДТА)</t>
  </si>
  <si>
    <t>Вирус лейкемии (FeLV, обнаружение провирусной ДНК) Биоптат ткани</t>
  </si>
  <si>
    <t>Криптококк (Cryptococcus spp.) Бронхоальвеолярный лаваж (ЭДТА)</t>
  </si>
  <si>
    <t>Микобактерия (Mycobacterium tuberculosis complex) Бронхоальвеолярный лаваж (ЭДТА)</t>
  </si>
  <si>
    <t>Токсоплазма (Toxoplasma gondii) Фекалии</t>
  </si>
  <si>
    <t>Токсоплазма (Toxoplasma gondii) Соскоб эпителиальных клеток слизистой прямой кишки</t>
  </si>
  <si>
    <t>Токсоплазма (Toxoplasma gondii) Кровь (ЭДТА)</t>
  </si>
  <si>
    <t>Гемоплазма (M. haemofelis)Кровь (ЭДТА)</t>
  </si>
  <si>
    <t>Гемоплазма (C.M. haemominutum) Кровь (ЭДТА)</t>
  </si>
  <si>
    <t>Гемоплазма (C.M.turicensis) Кровь (ЭДТА)</t>
  </si>
  <si>
    <t>25.1</t>
  </si>
  <si>
    <t>25.2</t>
  </si>
  <si>
    <t>25.3</t>
  </si>
  <si>
    <t>25.4</t>
  </si>
  <si>
    <t>25.5</t>
  </si>
  <si>
    <t>25.6</t>
  </si>
  <si>
    <t>25.7</t>
  </si>
  <si>
    <t>25.8</t>
  </si>
  <si>
    <t>25.9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</si>
  <si>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</si>
  <si>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</si>
  <si>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</si>
  <si>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</si>
  <si>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</si>
  <si>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</si>
  <si>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</si>
  <si>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</si>
  <si>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</si>
  <si>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</si>
  <si>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</si>
  <si>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</si>
  <si>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</si>
  <si>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</si>
  <si>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</si>
  <si>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</si>
  <si>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</si>
  <si>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</si>
  <si>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</si>
  <si>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</si>
  <si>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</si>
  <si>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</si>
  <si>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</si>
  <si>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</si>
  <si>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</si>
  <si>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</si>
  <si>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</si>
  <si>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</si>
  <si>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</si>
  <si>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</si>
  <si>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</si>
  <si>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</si>
  <si>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</si>
  <si>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</si>
  <si>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</si>
  <si>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</si>
  <si>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</si>
  <si>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</si>
  <si>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</si>
  <si>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</si>
  <si>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</si>
  <si>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</si>
  <si>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</si>
  <si>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</si>
  <si>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</si>
  <si>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</si>
  <si>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</si>
  <si>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</si>
  <si>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</si>
  <si>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</si>
  <si>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Глазной профиль (герпесвирус кошек (FHV-1), микоплазма (M. felis), хламидия (C. felis)) Соскоб эпителиальны клеток конъюнктивы</t>
  </si>
  <si>
    <t>Респираторный малый профиль (бордетелла (вordetella bronchiseptica), герпесвирус кошек (FHV-1), калицивирус (FCV)) Соскоб эпителиальных клеток слизистой носовой полости</t>
  </si>
  <si>
    <t>Респираторный большой профиль (бордетелла (вordetella bronchiseptica), герпесвирус кошек (FHV-1), калицивирус (FCV), микоплазма (M. felis), хламидия (C. felis)) Соскоб эпителиальных клеток слизистой носовой полости</t>
  </si>
  <si>
    <t>Желудочно-кишечный профиль (вирус панлейкопении (FPV), коронавирус кошек (FCoV), токсоплазма (Toxoplasma gondii)) Соскоб эпителиальных клеток слизистой прямой кишки</t>
  </si>
  <si>
    <t>Желудочно-кишечный стандартный профиль (вирус панлейкопении (FPV), коронавирус кошек (FCoV), токсоплазма (Toxoplasma gondii), гиардиа (Giardia spp.), криптоспоридии (Cryptosporidium spp.)) Соскоб эпителиальных клеток слизистой прямой кишки</t>
  </si>
  <si>
    <t>Желудочно-кишечный профиль (вирус панлейкопении (FPV), коронавирус кошек (FCoV), токсоплазма (Toxoplasma gondii)) Фекалии</t>
  </si>
  <si>
    <t>Желудочно-кишечный большой профиль (вирус панлейкопении (FPV), коронавирус кошек (FCoV), токсоплазма (Toxoplasma gondii), гиардиа (Giardia spp.), криптоспоридии (Cryptosporidium spp.), тritrichomonas blagburni (foetus)) Фекалии</t>
  </si>
  <si>
    <t>Паразитарный профиль при хронической диарее (гиардиа (Giardia spp.), криптоспоридии (Cryptosporidium spp.), тritrichomonas blagburni (foetus)) Фекалии</t>
  </si>
  <si>
    <t>Кровепаразитарный профиль (анаплазма (A. phagocytophilum и A.platys), бабезия (Babesia spp.), эрлихия (E. canis)) Кровь (ЭДТА)</t>
  </si>
  <si>
    <t>Гемотропные микоплазмы (M.haemofelis, C.M. haemominutum, C.M.turicensis) Кровь (ЭДТА)</t>
  </si>
  <si>
    <t>Хронические вирусные инфекции (вирус иммунодефицита (FIV, обнаружение провирусной ДНК),  вирус лейкемии (FeLV, обнаружение провирусной ДНК)) Кровь (ЭДТА)</t>
  </si>
  <si>
    <r>
      <t xml:space="preserve">Стоматологический малый профиль  </t>
    </r>
    <r>
      <rPr>
        <sz val="12"/>
        <color indexed="8"/>
        <rFont val="Calibri"/>
        <family val="2"/>
        <charset val="204"/>
      </rPr>
      <t xml:space="preserve">(вирус иммунодефицита (FIV, обнаружение провирусной ДНК), вирус лейкемии (FeLV, обнаружение провирусной ДНК), калицивирус (FCV)) Соскоб эпителиальных клеток слизистой ротовой полости  + Кровь (ЭДТА)     </t>
    </r>
  </si>
  <si>
    <t>26.1</t>
  </si>
  <si>
    <t>26.2</t>
  </si>
  <si>
    <t>26.3</t>
  </si>
  <si>
    <t>26.4</t>
  </si>
  <si>
    <t>26.5</t>
  </si>
  <si>
    <t>26.6</t>
  </si>
  <si>
    <t>26.7</t>
  </si>
  <si>
    <t>26.8</t>
  </si>
  <si>
    <t>26.9</t>
  </si>
  <si>
    <t>26.10</t>
  </si>
  <si>
    <t>26.11</t>
  </si>
  <si>
    <t>26.12</t>
  </si>
  <si>
    <t>26.13</t>
  </si>
  <si>
    <t>26.14</t>
  </si>
  <si>
    <t>Коронавирус хорьков энтеральный (FEC) Соскоб эпителиальных клеток слизистой прямой кишки</t>
  </si>
  <si>
    <t>Коронавирус хорьков энтеральный (FEC) Фекалии</t>
  </si>
  <si>
    <t>Коронавирус хорьков системный  (FRSCV) Аспират ткани</t>
  </si>
  <si>
    <t>Коронавирус хорьков системный  (FRSCV) Биоптат ткани</t>
  </si>
  <si>
    <t>Коронавирус хорьков системный  (FRSCV) Выпотная жидкость (ЭДТА)</t>
  </si>
  <si>
    <t>Парвовирус норок (MEV) Соскоб эпителиальных клеток слизистой прямой кишки</t>
  </si>
  <si>
    <t>Парвовирус норок (MEV) Фекалии</t>
  </si>
  <si>
    <t>27.1</t>
  </si>
  <si>
    <t>27.2</t>
  </si>
  <si>
    <t>27.3</t>
  </si>
  <si>
    <t>27.4</t>
  </si>
  <si>
    <t>27.5</t>
  </si>
  <si>
    <t>27.6</t>
  </si>
  <si>
    <t>27.7</t>
  </si>
  <si>
    <t>27.8</t>
  </si>
  <si>
    <t>27.9</t>
  </si>
  <si>
    <t>Микоплазма (Mycoplasma spp.) Соскоб эпителиальных клеток слизистой носовой полости</t>
  </si>
  <si>
    <t>Микоплазма (Mycoplasma spp.) Бронхоальвеолярный лаваж (ЭДТА)</t>
  </si>
  <si>
    <t>28.1</t>
  </si>
  <si>
    <t>28.2</t>
  </si>
  <si>
    <t>28.3</t>
  </si>
  <si>
    <t>28.4</t>
  </si>
  <si>
    <t>28.5</t>
  </si>
  <si>
    <t>28.6</t>
  </si>
  <si>
    <t>28.7</t>
  </si>
  <si>
    <t>28.8</t>
  </si>
  <si>
    <t>28.9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</si>
  <si>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</si>
  <si>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</si>
  <si>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</si>
  <si>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</si>
  <si>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</si>
  <si>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</si>
  <si>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</si>
  <si>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</si>
  <si>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</si>
  <si>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</si>
  <si>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</si>
  <si>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</si>
  <si>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</si>
  <si>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</si>
  <si>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</si>
  <si>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</si>
  <si>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</si>
  <si>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</si>
  <si>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</si>
  <si>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</si>
  <si>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</si>
  <si>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</si>
  <si>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Респираторный профиль (микоплазма (Mycoplasma spp.), хламидия (Сhlamydia spp.)) Соскоб эпителиальных клеток слизистой носовой полости</t>
  </si>
  <si>
    <t>29.1</t>
  </si>
  <si>
    <t>29.2</t>
  </si>
  <si>
    <t>30.1</t>
  </si>
  <si>
    <t>30.2</t>
  </si>
  <si>
    <t>30.3</t>
  </si>
  <si>
    <t>30.4</t>
  </si>
  <si>
    <t>30.5</t>
  </si>
  <si>
    <t>Чистка ушей эндоскопическая:</t>
  </si>
  <si>
    <t>1.1.61</t>
  </si>
  <si>
    <t>Выдача справки по требованию</t>
  </si>
  <si>
    <t>1.3.82</t>
  </si>
  <si>
    <t>Артродез:</t>
  </si>
  <si>
    <t>2.62</t>
  </si>
  <si>
    <t>2.63</t>
  </si>
  <si>
    <t>Оформление ветеринарного паспорта лошади</t>
  </si>
  <si>
    <t>Оформление дубликата ветеринарного паспорта лошади</t>
  </si>
  <si>
    <t>6.24</t>
  </si>
  <si>
    <t>Биохимический анализ крови на аспартат-аминотрансферазу (АСТ) – IDEXX</t>
  </si>
  <si>
    <t>Клиновидная пластика века</t>
  </si>
  <si>
    <t>Исследование гидробионтов на ихтиоспоридиоз  (микроскопическое)</t>
  </si>
  <si>
    <t>Исследование гидробионтов на бранхиомикоз  (микроскопическое)</t>
  </si>
  <si>
    <t>Определение обменной энергии (расчетным методом после проведения анализа на определение состава)</t>
  </si>
  <si>
    <t>Ккал/100 гр.</t>
  </si>
  <si>
    <t>Ректальное исследование на стельность</t>
  </si>
  <si>
    <t>1 час за 1 голову</t>
  </si>
  <si>
    <t>1.1.15.16</t>
  </si>
  <si>
    <t>Алкаин</t>
  </si>
  <si>
    <t>1 глаз</t>
  </si>
  <si>
    <t>1.4.7</t>
  </si>
  <si>
    <t>1.4.8</t>
  </si>
  <si>
    <t>1.4.9</t>
  </si>
  <si>
    <t>1.4.10</t>
  </si>
  <si>
    <t>1.4.11</t>
  </si>
  <si>
    <t>1.4.12</t>
  </si>
  <si>
    <t>1.4.13</t>
  </si>
  <si>
    <t>1.4.14</t>
  </si>
  <si>
    <t>1.4.15</t>
  </si>
  <si>
    <t>1.4.16</t>
  </si>
  <si>
    <t>1.4.17</t>
  </si>
  <si>
    <t>Биомикроскопия</t>
  </si>
  <si>
    <t>Глазная тонометрия</t>
  </si>
  <si>
    <t>Тарзорафия</t>
  </si>
  <si>
    <t>Блефарорафия</t>
  </si>
  <si>
    <t>Тест Ширмера</t>
  </si>
  <si>
    <t>Тест с фенилэфрином</t>
  </si>
  <si>
    <t>Интравитреальная инъекция</t>
  </si>
  <si>
    <t>Ретробульбарная инъекция</t>
  </si>
  <si>
    <t>Удаление инородного тела с роговицы глаза</t>
  </si>
  <si>
    <t>Парацентез передней камеры глаза</t>
  </si>
  <si>
    <t>1.4. Офтальмология</t>
  </si>
  <si>
    <t>2.10.2</t>
  </si>
  <si>
    <t>2.10.2.1</t>
  </si>
  <si>
    <t>2.10.2.2</t>
  </si>
  <si>
    <t>2.10.2.3</t>
  </si>
  <si>
    <t>2.10.2.4</t>
  </si>
  <si>
    <t>2.10.2.5</t>
  </si>
  <si>
    <t xml:space="preserve"> - введение препарата кальфосет:</t>
  </si>
  <si>
    <t xml:space="preserve">   - поросята (до 30 кг.)</t>
  </si>
  <si>
    <t xml:space="preserve">   - свиньи (от 30 до 50 кг.)</t>
  </si>
  <si>
    <t xml:space="preserve">   - свиньи (от 50 до 100 кг.)</t>
  </si>
  <si>
    <t xml:space="preserve">   - свиньи (свыше 100 кг.)</t>
  </si>
  <si>
    <t xml:space="preserve">   - МРС (овцы, козы)</t>
  </si>
  <si>
    <t>2.11.3</t>
  </si>
  <si>
    <t>2.11.3.1</t>
  </si>
  <si>
    <t>2.11.3.2</t>
  </si>
  <si>
    <t>2.11.3.3</t>
  </si>
  <si>
    <t xml:space="preserve"> - внутривенное введение препарата кальфосет:</t>
  </si>
  <si>
    <t>2. Продуктивные животные</t>
  </si>
  <si>
    <t>Фиксация животного за каждые 10 мин. одним специалистом</t>
  </si>
  <si>
    <t>Дневной стационар (без учета оказания услуг)</t>
  </si>
  <si>
    <t>Родовспоможение (крупный рогатый скот)</t>
  </si>
  <si>
    <t xml:space="preserve"> - собаки мелкой породы (до 5 кг)</t>
  </si>
  <si>
    <t>Операция при парафимозе животного:</t>
  </si>
  <si>
    <t>1.1.15.17</t>
  </si>
  <si>
    <t>1.1.15.17.1</t>
  </si>
  <si>
    <t>1.1.15.17.2</t>
  </si>
  <si>
    <t>1.1.15.17.3</t>
  </si>
  <si>
    <t>1.1.15.17.4</t>
  </si>
  <si>
    <t>1.1.15.17.5</t>
  </si>
  <si>
    <t>1.1.15.17.6</t>
  </si>
  <si>
    <t>Фенилбутазон:</t>
  </si>
  <si>
    <t xml:space="preserve"> - животное более 50 кг</t>
  </si>
  <si>
    <t>1.1.62</t>
  </si>
  <si>
    <t>Очищение содержимого препуциального мешка у грызунов</t>
  </si>
  <si>
    <t>1.3.83</t>
  </si>
  <si>
    <t>1.3.83.1</t>
  </si>
  <si>
    <t>1.3.83.2</t>
  </si>
  <si>
    <t>Билатеральная мастэктомия:</t>
  </si>
  <si>
    <t>1.3.84</t>
  </si>
  <si>
    <t>1.3.84.1</t>
  </si>
  <si>
    <t>1.3.84.2</t>
  </si>
  <si>
    <t>1.3.84.3</t>
  </si>
  <si>
    <t>1.3.85</t>
  </si>
  <si>
    <t>1.3.85.1</t>
  </si>
  <si>
    <t>1.3.85.2</t>
  </si>
  <si>
    <t>Кастрация кобеля с удалением мошонки:</t>
  </si>
  <si>
    <t xml:space="preserve"> - собаки мелкой породы (до 5 кг.)</t>
  </si>
  <si>
    <t xml:space="preserve"> - собаки средней породы (от 5 до 15 кг.)</t>
  </si>
  <si>
    <t xml:space="preserve"> - собаки крупной породы (от 15 до 30 кг.)</t>
  </si>
  <si>
    <t xml:space="preserve"> - собаки гигантской породы (от 30 кг.)</t>
  </si>
  <si>
    <t>Удаление слухового прохода:</t>
  </si>
  <si>
    <t xml:space="preserve"> - собаки крупных пород</t>
  </si>
  <si>
    <t>2.10.3</t>
  </si>
  <si>
    <t>2.10.3.1</t>
  </si>
  <si>
    <t>2.10.3.2</t>
  </si>
  <si>
    <t>2.10.3.3</t>
  </si>
  <si>
    <t>2.10.3.4</t>
  </si>
  <si>
    <t>2.10.3.5</t>
  </si>
  <si>
    <t xml:space="preserve"> - введение препарата фенилбутазон:</t>
  </si>
  <si>
    <t xml:space="preserve">   - свиньи (до 50 кг.)</t>
  </si>
  <si>
    <t xml:space="preserve">   - КРС (до 500 кг.)</t>
  </si>
  <si>
    <t>2.11.4</t>
  </si>
  <si>
    <t>2.11.4.1</t>
  </si>
  <si>
    <t xml:space="preserve"> - внутривенное введение препарата фенилбутазон:</t>
  </si>
  <si>
    <t xml:space="preserve">   - крупный рогатый скот</t>
  </si>
  <si>
    <t xml:space="preserve">   - мелкий рогатый скот</t>
  </si>
  <si>
    <t xml:space="preserve">    - лошади (до 500 кг.)</t>
  </si>
  <si>
    <t xml:space="preserve">    - КРС (до 500 кг.)</t>
  </si>
  <si>
    <t xml:space="preserve">    - МРС (овцы, козы)</t>
  </si>
  <si>
    <t xml:space="preserve">     - лошади (до 500 кг.)</t>
  </si>
  <si>
    <t>2.64</t>
  </si>
  <si>
    <t>2.64.1</t>
  </si>
  <si>
    <t>2.64.2</t>
  </si>
  <si>
    <t>2.64.3</t>
  </si>
  <si>
    <t>2.64.4</t>
  </si>
  <si>
    <t>Седация продуктивных животных:</t>
  </si>
  <si>
    <t xml:space="preserve">   - свиньи (до 100 кг.)</t>
  </si>
  <si>
    <t xml:space="preserve">   - лошади (до 400 кг.)</t>
  </si>
  <si>
    <t>было</t>
  </si>
  <si>
    <t>стало</t>
  </si>
  <si>
    <t>Резекция ушных раковин:</t>
  </si>
  <si>
    <t>- кошки, собаки до 2 месяцев</t>
  </si>
  <si>
    <t>- кошки, собаки до 10 кг старше 2 месяцев</t>
  </si>
  <si>
    <t>- собаки от 10 кг до 25 кг старше 2 месяцев</t>
  </si>
  <si>
    <t>- собаки от 25 кг до 55 кг старше 2 месяцев</t>
  </si>
  <si>
    <t>- собаки от 55 кг старше 2 месяцев</t>
  </si>
  <si>
    <t>Остеосинтез переломов таза (одна сторона) без учета пластин, седации, рентгена:</t>
  </si>
  <si>
    <t>1.3.86.1</t>
  </si>
  <si>
    <t>- кошки, собаки мелкой породы (до 5 кг)</t>
  </si>
  <si>
    <t>1.3.86.2</t>
  </si>
  <si>
    <t xml:space="preserve"> - кошки, собаки средней породы (от 5 кг до 15 кг)</t>
  </si>
  <si>
    <t>1.3.86.3</t>
  </si>
  <si>
    <t xml:space="preserve"> - собаки крупной и гигантской породы (от 15 кг)</t>
  </si>
  <si>
    <t>Остеосинтез (отрыв подвздошного крестцового сочленения, одна сторона)</t>
  </si>
  <si>
    <t>1.3.87.1</t>
  </si>
  <si>
    <t>1.3.87.2</t>
  </si>
  <si>
    <t>1.3.87.3</t>
  </si>
  <si>
    <t>1.3.86</t>
  </si>
  <si>
    <t>1.3.87</t>
  </si>
  <si>
    <t>добавлено</t>
  </si>
  <si>
    <t>Ихтиопатологическое обследование участка</t>
  </si>
  <si>
    <t>Остеотомия (без учета доступа к кости и остеосинтеза)</t>
  </si>
  <si>
    <t>Промывание желудка (зондирование и санация)</t>
  </si>
  <si>
    <t>- кошки, собаки мелкой породы (до 10 кг)</t>
  </si>
  <si>
    <t xml:space="preserve"> - кошки, собаки средней породы (от 10 кг до 20 кг)</t>
  </si>
  <si>
    <t xml:space="preserve"> - собаки крупной и гигантской породы (от 20 кг)</t>
  </si>
  <si>
    <t>1.1.16.4.1</t>
  </si>
  <si>
    <t>1.1.16.4.2</t>
  </si>
  <si>
    <t>1.1.16.4.3</t>
  </si>
  <si>
    <t>1.1.16.4.4</t>
  </si>
  <si>
    <t>1.1.16.4.5</t>
  </si>
  <si>
    <t>1.1.16.4.6</t>
  </si>
  <si>
    <t>1.1.16.4.7</t>
  </si>
  <si>
    <t>1.1.63</t>
  </si>
  <si>
    <t>Подкожное введение лекарственных препаратов: струйное, 1 компонент</t>
  </si>
  <si>
    <t>Бруцеллёз (микроскопическое исследование, бактериологическое исследование, биологическое исследование)</t>
  </si>
  <si>
    <t>1.1.15.18.1</t>
  </si>
  <si>
    <t>1.1.15.18.2</t>
  </si>
  <si>
    <t>1.1.15.18.3</t>
  </si>
  <si>
    <t>1.1.15.18</t>
  </si>
  <si>
    <t>Подкожные и внутримышечные инъекции: Сенсиблекс Вейкс (для регуляции родового процесса у собак):</t>
  </si>
  <si>
    <t>- собаки весом до 10 кг</t>
  </si>
  <si>
    <t>- собаки весом от 10 до 20 кг</t>
  </si>
  <si>
    <t>- собаки весом 20 кг и более</t>
  </si>
  <si>
    <t>добавлено с 13.10.21</t>
  </si>
  <si>
    <t>2.10.4</t>
  </si>
  <si>
    <t>Подкожные и внутримышечные инъекции: Сенсиблекс Вейкс (для регуляции родового процесса у коров):</t>
  </si>
  <si>
    <t>2.10.4.1</t>
  </si>
  <si>
    <t>2.10.4.2</t>
  </si>
  <si>
    <t>- нетели молочных пород</t>
  </si>
  <si>
    <t>- нетели мясных пород, коровы</t>
  </si>
  <si>
    <t>добавлено 13.10.21</t>
  </si>
  <si>
    <t>стало 13.10.21</t>
  </si>
  <si>
    <t xml:space="preserve">   - панлейкопения, калицивирус, ринотрахеит (герпесвирус)</t>
  </si>
  <si>
    <t xml:space="preserve">   - панлейкопения, калицивирус, ринотрахеит (герпесвирус), бешенство </t>
  </si>
  <si>
    <t>Вакцинация Фелиген:</t>
  </si>
  <si>
    <t>1.1.64</t>
  </si>
  <si>
    <t>- калицивирус, вирусный ринотрахеит (герпесвирус), панлейкопения кошек (CRP)</t>
  </si>
  <si>
    <t>- калицивирус, вирусный ринотрахеит (герпесвирус), панлейкопения, бешенство кошек (CRP/R)</t>
  </si>
  <si>
    <t>- весом до 5 кг</t>
  </si>
  <si>
    <t>- весом от 5 до 15 кг</t>
  </si>
  <si>
    <t>- весом от 15 до 30 кг</t>
  </si>
  <si>
    <t>- весом свыше 30 кг</t>
  </si>
  <si>
    <t>1.27</t>
  </si>
  <si>
    <t>Выявления возбудителя Йерсиниоза рыб
 (с отсроченным предоставлением результата, метод  ПЦР-РВ</t>
  </si>
  <si>
    <t>31. Микробиология</t>
  </si>
  <si>
    <t>31.1</t>
  </si>
  <si>
    <t>31.2</t>
  </si>
  <si>
    <t>31.3</t>
  </si>
  <si>
    <t>31.4</t>
  </si>
  <si>
    <t>Посев мочи на грибы рода Candida с определением чувствительности к антимикотическим препаратам</t>
  </si>
  <si>
    <t>Посев желчи на грибы рода Candida с определением чувствительности к антимикотическим препаратам</t>
  </si>
  <si>
    <t>изменено 18.08.21</t>
  </si>
  <si>
    <t>добавлено 18.08.21</t>
  </si>
  <si>
    <t>6.25</t>
  </si>
  <si>
    <t>Исследование на прогестерон - IDEXX</t>
  </si>
  <si>
    <t>2.65</t>
  </si>
  <si>
    <t>Электронное биркование</t>
  </si>
  <si>
    <t>1.28</t>
  </si>
  <si>
    <t>Бруцеллёз ПЦР</t>
  </si>
  <si>
    <t>добавлено 15.12.21</t>
  </si>
  <si>
    <t>добавлено 15.12.22</t>
  </si>
  <si>
    <t>Лейкоз ПЦР</t>
  </si>
  <si>
    <t>Хламидиоз ПЦР</t>
  </si>
  <si>
    <t>4.30</t>
  </si>
  <si>
    <t>4.31</t>
  </si>
  <si>
    <t>3. При проведении срочных (в рабочее время, в течение 3 часов с момента доставки пробы в лабораторию) паразитологических, копрологических, биохимических и гематологических исследований стоимость услуги увеличивается в 2 раза.</t>
  </si>
  <si>
    <t>была рентабельность</t>
  </si>
  <si>
    <t>Удаление свалявшихся комков шерсти (колтунов):</t>
  </si>
  <si>
    <t>4. Ветеринарное обслуживание на кинологических и фелинологических выставках осуществляется по заявке от 4 часов и более.</t>
  </si>
  <si>
    <t xml:space="preserve"> - обработка животноводческих помещений работниками ветстанций (без стоимости дезинфектанта) </t>
  </si>
  <si>
    <t xml:space="preserve"> - заправка дез. барьера при помощи автомобиля ДУК (без стоимости дезинфектанта) </t>
  </si>
  <si>
    <t xml:space="preserve"> - заправка дез. коврика при помощи автомобиля ДУК (без стоимости дезинфектанта) </t>
  </si>
  <si>
    <t xml:space="preserve">Обработка против эктопаразитов, арахноэнтомозов отечественными препаратами:  </t>
  </si>
  <si>
    <t xml:space="preserve">Обработка против эктопаразитов, арахноэнтомозов импортными препаратами:  </t>
  </si>
  <si>
    <t xml:space="preserve"> - кошек</t>
  </si>
  <si>
    <t xml:space="preserve"> - собак  до 10 кг</t>
  </si>
  <si>
    <t xml:space="preserve"> - собак от 10 до 20 кг</t>
  </si>
  <si>
    <t xml:space="preserve"> - собак от 20 до 30 кг</t>
  </si>
  <si>
    <t xml:space="preserve"> - собак свыше 30 кг</t>
  </si>
  <si>
    <t xml:space="preserve"> - собак до 10 кг</t>
  </si>
  <si>
    <t xml:space="preserve"> - собак от 20 до 40 кг</t>
  </si>
  <si>
    <t>Стронхолд:</t>
  </si>
  <si>
    <t xml:space="preserve"> - собак свыше  40 кг</t>
  </si>
  <si>
    <t>Симпарика:</t>
  </si>
  <si>
    <t xml:space="preserve"> - собак до 5 кг</t>
  </si>
  <si>
    <t xml:space="preserve"> - собак от 5 до 10 кг</t>
  </si>
  <si>
    <t>Адвокат:</t>
  </si>
  <si>
    <t xml:space="preserve"> - кошек до 4 кг</t>
  </si>
  <si>
    <t xml:space="preserve"> - кошек свыше 4 кг</t>
  </si>
  <si>
    <t xml:space="preserve"> - собак от 4 до 10 кг</t>
  </si>
  <si>
    <t xml:space="preserve"> - собак от 10 до 25 кг</t>
  </si>
  <si>
    <t xml:space="preserve"> - собак свыше 25 кг</t>
  </si>
  <si>
    <t>Фронт лайн:</t>
  </si>
  <si>
    <t>Фабелло-тибиальный шов:</t>
  </si>
  <si>
    <t>- животное весом до 5 кг</t>
  </si>
  <si>
    <t>- животное весом от 5 до 20 кг</t>
  </si>
  <si>
    <t>- животное весом свыше 20 кг</t>
  </si>
  <si>
    <t>Дупликатура капсулы коленного сустава</t>
  </si>
  <si>
    <t>Транспозиция гребня большеберцовой кости</t>
  </si>
  <si>
    <t>Эпидуральная анестезия:</t>
  </si>
  <si>
    <t>- животное весом до 10 кг</t>
  </si>
  <si>
    <t>- животное весом от 10 до 20 кг</t>
  </si>
  <si>
    <t>- животное весом от 20 до 40 кг</t>
  </si>
  <si>
    <t>- животное весом свыше 40 кг</t>
  </si>
  <si>
    <t>-животное весом свыше 10 кг</t>
  </si>
  <si>
    <t>-животное весом до 10 кг</t>
  </si>
  <si>
    <t>Метод ТПЛО  (TPLO) (без учета стоимости пластин, спиц):</t>
  </si>
  <si>
    <t>Хирургическая стабилизация тазобедренного сустава (ТБС):</t>
  </si>
  <si>
    <t>-животное весом до 7 кг</t>
  </si>
  <si>
    <t>-животное весом от 7 до 30 кг</t>
  </si>
  <si>
    <t>-животное весом свыше 30 кг</t>
  </si>
  <si>
    <t>- обнаружение асцитической жидкости (A - FAST)</t>
  </si>
  <si>
    <t>- УЗИ беременности</t>
  </si>
  <si>
    <t>Цена с НДС, руб. 2021 год с пересчитанной рентабельностью</t>
  </si>
  <si>
    <t>1.1.24.1</t>
  </si>
  <si>
    <t>1.1.24.2</t>
  </si>
  <si>
    <t>1.1.27.1</t>
  </si>
  <si>
    <t>1.1.27.3</t>
  </si>
  <si>
    <t>1.1.27.2</t>
  </si>
  <si>
    <t>1.1.27.4</t>
  </si>
  <si>
    <t>1.1.27.5</t>
  </si>
  <si>
    <t>1.1.27.6</t>
  </si>
  <si>
    <t>1.1.27.8</t>
  </si>
  <si>
    <t>1.1.28.1</t>
  </si>
  <si>
    <t>1.1.28.1.1</t>
  </si>
  <si>
    <t>1.1.28.1.2</t>
  </si>
  <si>
    <t>1.1.28.1.3</t>
  </si>
  <si>
    <t>1.1.28.1.4</t>
  </si>
  <si>
    <t>1.1.28.1.5</t>
  </si>
  <si>
    <t>1.1.28.2</t>
  </si>
  <si>
    <t>1.1.28.2.1</t>
  </si>
  <si>
    <t>1.1.28.3</t>
  </si>
  <si>
    <t>1.1.28.4</t>
  </si>
  <si>
    <t>1.1.28.2.2</t>
  </si>
  <si>
    <t>1.1.28.2.3</t>
  </si>
  <si>
    <t>1.1.28.2.4</t>
  </si>
  <si>
    <t>1.1.28.2.5</t>
  </si>
  <si>
    <t>1.1.28.2.6</t>
  </si>
  <si>
    <t>1.1.28.3.1</t>
  </si>
  <si>
    <t>1.1.28.3.2</t>
  </si>
  <si>
    <t>1.1.28.3.3</t>
  </si>
  <si>
    <t>1.1.28.3.4</t>
  </si>
  <si>
    <t>1.1.28.3.5</t>
  </si>
  <si>
    <t>1.1.28.3.6</t>
  </si>
  <si>
    <t>1.1.28.4.1</t>
  </si>
  <si>
    <t>1.1.28.4.2</t>
  </si>
  <si>
    <t>1.1.28.4.3</t>
  </si>
  <si>
    <t>1.1.28.4.4</t>
  </si>
  <si>
    <t>1.1.28.4.5</t>
  </si>
  <si>
    <t>1.1.33.1</t>
  </si>
  <si>
    <t>1.1.33.2</t>
  </si>
  <si>
    <t>1.1.33.3</t>
  </si>
  <si>
    <t>1.1.33.4</t>
  </si>
  <si>
    <t>1.1.38.1</t>
  </si>
  <si>
    <t>1.1.38.1.1</t>
  </si>
  <si>
    <t>1.1.38.1.2</t>
  </si>
  <si>
    <t>1.1.38.1.3</t>
  </si>
  <si>
    <t>1.1.38.1.4</t>
  </si>
  <si>
    <t>1.1.38.1.5</t>
  </si>
  <si>
    <t>1.1.38.1.6</t>
  </si>
  <si>
    <t>1.1.38.2</t>
  </si>
  <si>
    <t>1.1.38.2.1</t>
  </si>
  <si>
    <t>1.1.38.2.2</t>
  </si>
  <si>
    <t>1.1.38.3</t>
  </si>
  <si>
    <t>1.1.38.4</t>
  </si>
  <si>
    <t>1.1.38.5</t>
  </si>
  <si>
    <t>1.1.38.6</t>
  </si>
  <si>
    <t>1.1.38.7</t>
  </si>
  <si>
    <t>1.1.38.7.1</t>
  </si>
  <si>
    <t>1.1.38.7.2</t>
  </si>
  <si>
    <t>1.1.38.8</t>
  </si>
  <si>
    <t>1.1.38.8.1</t>
  </si>
  <si>
    <t>1.1.38.8.2</t>
  </si>
  <si>
    <t>1.1.38.9</t>
  </si>
  <si>
    <t>1.1.45.1</t>
  </si>
  <si>
    <t>1.1.45.2</t>
  </si>
  <si>
    <t>1.1.46.1</t>
  </si>
  <si>
    <t>1.1.46.2</t>
  </si>
  <si>
    <t>1.1.47.1</t>
  </si>
  <si>
    <t>1.1.47.2</t>
  </si>
  <si>
    <t>1.1.47.3</t>
  </si>
  <si>
    <t>1.1.54.1</t>
  </si>
  <si>
    <t>1.1.54.2</t>
  </si>
  <si>
    <t>1.1.54.3</t>
  </si>
  <si>
    <t>1.1.56.1</t>
  </si>
  <si>
    <t>1.1.56.2</t>
  </si>
  <si>
    <t>1.1.56.3</t>
  </si>
  <si>
    <t>1.1.56.4</t>
  </si>
  <si>
    <t>1.1.61.1</t>
  </si>
  <si>
    <t>1.1.61.2</t>
  </si>
  <si>
    <t>1.1.62.1</t>
  </si>
  <si>
    <t>1.1.62.1.1</t>
  </si>
  <si>
    <t>1.1.62.1.2</t>
  </si>
  <si>
    <t>1.1.62.1.3</t>
  </si>
  <si>
    <t>1.1.62.2</t>
  </si>
  <si>
    <t>1.1.62.2.1</t>
  </si>
  <si>
    <t>1.1.62.2.2</t>
  </si>
  <si>
    <t>1.1.62.2.3</t>
  </si>
  <si>
    <t>1.1.63.1</t>
  </si>
  <si>
    <t>1.1.63.2</t>
  </si>
  <si>
    <t>1.1.63.3</t>
  </si>
  <si>
    <t>1.1.65</t>
  </si>
  <si>
    <t>1.3.19.1</t>
  </si>
  <si>
    <t>1.3.19.2</t>
  </si>
  <si>
    <t>1.3.20.1</t>
  </si>
  <si>
    <t>1.3.20.2</t>
  </si>
  <si>
    <t>1.3.21.1</t>
  </si>
  <si>
    <t>1.3.21.2</t>
  </si>
  <si>
    <t>1.3.22.1</t>
  </si>
  <si>
    <t>1.3.22.2</t>
  </si>
  <si>
    <t>1.3.27.3</t>
  </si>
  <si>
    <t>1.3.29.1</t>
  </si>
  <si>
    <t>1.3.29.2</t>
  </si>
  <si>
    <t>1.3.29.3</t>
  </si>
  <si>
    <t>1.3.30.1</t>
  </si>
  <si>
    <t>1.3.30.2</t>
  </si>
  <si>
    <t>1.3.30.3</t>
  </si>
  <si>
    <t>1.3.30.4</t>
  </si>
  <si>
    <t>1.3.30.5</t>
  </si>
  <si>
    <t>1.3.32.1</t>
  </si>
  <si>
    <t>1.3.32.2</t>
  </si>
  <si>
    <t>1.3.32.3</t>
  </si>
  <si>
    <t>1.3.32.4</t>
  </si>
  <si>
    <t>1.3.33.4</t>
  </si>
  <si>
    <t>1.3.33.5</t>
  </si>
  <si>
    <t>1.3.33.6</t>
  </si>
  <si>
    <t>1.3.33.7</t>
  </si>
  <si>
    <t>1.3.34.1</t>
  </si>
  <si>
    <t>1.3.34.2</t>
  </si>
  <si>
    <t>1.3.34.3</t>
  </si>
  <si>
    <t>1.3.34.3.1</t>
  </si>
  <si>
    <t>1.3.34.3.2</t>
  </si>
  <si>
    <t>1.3.34.3.3</t>
  </si>
  <si>
    <t>1.3.34.3.4</t>
  </si>
  <si>
    <t>1.3.34.4</t>
  </si>
  <si>
    <t>1.3.34.5</t>
  </si>
  <si>
    <t>1.3.34.6</t>
  </si>
  <si>
    <t>1.3.34.7</t>
  </si>
  <si>
    <t>1.3.35.4</t>
  </si>
  <si>
    <t>1.3.35.5</t>
  </si>
  <si>
    <t>1.3.37.1</t>
  </si>
  <si>
    <t>1.3.37.2</t>
  </si>
  <si>
    <t>1.3.37.3</t>
  </si>
  <si>
    <t>1.3.37.4</t>
  </si>
  <si>
    <t>1.3.37.5</t>
  </si>
  <si>
    <t>1.3.42.1</t>
  </si>
  <si>
    <t>1.3.42.2</t>
  </si>
  <si>
    <t>1.3.44.3</t>
  </si>
  <si>
    <t>1.3.44.4</t>
  </si>
  <si>
    <t>1.3.44.5</t>
  </si>
  <si>
    <t>1.3.45.3</t>
  </si>
  <si>
    <t>1.3.45.4</t>
  </si>
  <si>
    <t>1.3.45.5</t>
  </si>
  <si>
    <t>1.3.46.3</t>
  </si>
  <si>
    <t>1.3.46.4</t>
  </si>
  <si>
    <t>1.3.46.5</t>
  </si>
  <si>
    <t>1.3.47.3</t>
  </si>
  <si>
    <t>1.3.47.4</t>
  </si>
  <si>
    <t>1.3.49.1</t>
  </si>
  <si>
    <t>1.3.49.2</t>
  </si>
  <si>
    <t>1.3.55.1</t>
  </si>
  <si>
    <t>1.3.55.2</t>
  </si>
  <si>
    <t>1.3.57.1</t>
  </si>
  <si>
    <t>1.3.57.2</t>
  </si>
  <si>
    <t>1.3.59.3</t>
  </si>
  <si>
    <t>1.3.60.1</t>
  </si>
  <si>
    <t>1.3.60.2</t>
  </si>
  <si>
    <t>1.3.60.3</t>
  </si>
  <si>
    <t>1.3.61.1</t>
  </si>
  <si>
    <t>1.3.61.2</t>
  </si>
  <si>
    <t>1.3.61.3</t>
  </si>
  <si>
    <t>1.3.69.1</t>
  </si>
  <si>
    <t>1.3.69.2</t>
  </si>
  <si>
    <t>1.3.71.1</t>
  </si>
  <si>
    <t>1.3.71.2</t>
  </si>
  <si>
    <t>1.3.76.3</t>
  </si>
  <si>
    <t>1.3.77.1</t>
  </si>
  <si>
    <t>1.3.77.2</t>
  </si>
  <si>
    <t>1.3.80.1</t>
  </si>
  <si>
    <t>1.3.80.2</t>
  </si>
  <si>
    <t>1.3.80.3</t>
  </si>
  <si>
    <t>1.3.85.3</t>
  </si>
  <si>
    <t>1.4.18</t>
  </si>
  <si>
    <t>1.4.18.1</t>
  </si>
  <si>
    <t>1.4.18.2</t>
  </si>
  <si>
    <t>1.4.18.3</t>
  </si>
  <si>
    <t>1.4.18.4</t>
  </si>
  <si>
    <t>1.4.19</t>
  </si>
  <si>
    <t>1.4.19.1</t>
  </si>
  <si>
    <t>1.4.19.2</t>
  </si>
  <si>
    <t>1.4.20</t>
  </si>
  <si>
    <t>1.4.21</t>
  </si>
  <si>
    <t>1.4.22</t>
  </si>
  <si>
    <t>1.4.23</t>
  </si>
  <si>
    <t>1.4.24</t>
  </si>
  <si>
    <t>1.4.24.1</t>
  </si>
  <si>
    <t>1.4.24.2</t>
  </si>
  <si>
    <t>1.5.1</t>
  </si>
  <si>
    <t>1.5.2</t>
  </si>
  <si>
    <t>1.5.2.1</t>
  </si>
  <si>
    <t>1.5.2.2</t>
  </si>
  <si>
    <t>1.5.2.3</t>
  </si>
  <si>
    <t>1.5.2.4</t>
  </si>
  <si>
    <t>1.5.2.5</t>
  </si>
  <si>
    <t>1.5.2.6</t>
  </si>
  <si>
    <t>1.5.5.1</t>
  </si>
  <si>
    <t>1.5.5.2</t>
  </si>
  <si>
    <t>1.5.5.3</t>
  </si>
  <si>
    <t>1.5.5.4</t>
  </si>
  <si>
    <t>1.5.5.5</t>
  </si>
  <si>
    <t>1.5.6.1</t>
  </si>
  <si>
    <t>1.5.6.2</t>
  </si>
  <si>
    <t>1.5.6.3</t>
  </si>
  <si>
    <t>1.5.6.4</t>
  </si>
  <si>
    <t>1.5.6.5</t>
  </si>
  <si>
    <t>1.5.6.6</t>
  </si>
  <si>
    <t>1.5.7.6</t>
  </si>
  <si>
    <t>1.5.12</t>
  </si>
  <si>
    <t>1.5.13.1</t>
  </si>
  <si>
    <t>1.5.13.2</t>
  </si>
  <si>
    <t>1.5.17.1</t>
  </si>
  <si>
    <t>1.5.17.2</t>
  </si>
  <si>
    <t>1.5.17.3</t>
  </si>
  <si>
    <t>1.5.18.1</t>
  </si>
  <si>
    <t>1.5.18.2</t>
  </si>
  <si>
    <t>1.5.18.3</t>
  </si>
  <si>
    <t>5. Стоимость дезинфектанта учитывается от фактически затраченного количества (относится к п. 1.5.7 подраздела 1.5. Прочие услуги).</t>
  </si>
  <si>
    <t>№  1027-П от 29 декабря 2021 года</t>
  </si>
  <si>
    <t xml:space="preserve">Приложение к приказу                                        </t>
  </si>
  <si>
    <t xml:space="preserve">  от 2 февраля 2022 года № 32-П</t>
  </si>
  <si>
    <t>Цена без НДС, рублей</t>
  </si>
  <si>
    <t>НДС, рублей</t>
  </si>
  <si>
    <t>Цена с НДС, рублей</t>
  </si>
  <si>
    <t>Цена услуги для ИП, КФХ, как получателей грантов " Агростартап","Агропрогресс", семейной фермы и СПоК , как получателей гранта на МТБ в течение  одного года с момента  получения гранта, рублей (с НДС)</t>
  </si>
  <si>
    <t>Цена услуги для ИП, КФХ, СпоК - получателей грантов со второго года после получения гранта, рублей (с НДС)</t>
  </si>
  <si>
    <t>Цена услуги для ЛПХ, рублей (с НДС)</t>
  </si>
  <si>
    <t>Цена услуги для СТП микропредприятий МСП, рублей (с НДС)</t>
  </si>
  <si>
    <t>Цена услуги для  иных категорий, рублей (с НДС)</t>
  </si>
  <si>
    <t>Организация  взаимодействия с финансовыми организациями с целью анализа предлагаемых финансовых услуг, программ льготного кредитования</t>
  </si>
  <si>
    <t>1усл.</t>
  </si>
  <si>
    <t xml:space="preserve">Подготовка необходимой документации для последующего направления в кредитные и лизинговые организации с целью получения заемного финансирования,в том числе с применением льготного кредитования </t>
  </si>
  <si>
    <t>Оказание помощи  по вопросам бюджетирования, в выборе системы налогообложения, в формировании налоговых баз, начисление налогов, отражение в бухгалтерском учете</t>
  </si>
  <si>
    <t>Сопровождение субъектов МСП в части оформления пакета отчетных документов согласно условиям соглашений                             ( квартальной, полугодовой, годовой)</t>
  </si>
  <si>
    <t>бесплатно</t>
  </si>
  <si>
    <t>50% стоимости</t>
  </si>
  <si>
    <t>Подготовка пакета  отчетных документов   по  соглашению об участии в реализации мероприятий государственной программы Республики Карелия "Развитие агропромышленного и рыбохозяйственного комплексов"</t>
  </si>
  <si>
    <t>Содействие  в подборе конкурентоспособной сельскохозяйственной техники и сельскохозяйственного оборудования для осуществления ими эффективной деятельности внедрения инновационных технологий в сельском хозяйстве</t>
  </si>
  <si>
    <t>Содействие  субъектам МСП в АПК, в оформлении электронной цифровой подписи, оформлении соглашений и сдаче отчетности в системе ГИИС " Электронный бюджет"</t>
  </si>
  <si>
    <r>
      <t xml:space="preserve">Оказание услуг по планированию деятельности, в том числе содействие в организации предпринимательской деятельности в сельском хозяйстве </t>
    </r>
    <r>
      <rPr>
        <b/>
        <u/>
        <sz val="12"/>
        <color indexed="8"/>
        <rFont val="Times New Roman"/>
        <family val="1"/>
        <charset val="204"/>
      </rPr>
      <t>для физических лиц</t>
    </r>
  </si>
  <si>
    <t>не являются участниками услуги</t>
  </si>
  <si>
    <t>Подготовка и оформление документов для участия граждан, субъектов МСП в программах государственной поддержки, реализуемых на региональном и федеральном уровнях:</t>
  </si>
  <si>
    <t>Разработка бизнес-плана</t>
  </si>
  <si>
    <t>Подготовка и оформление документов для участия в программах государственной поддержки</t>
  </si>
  <si>
    <t xml:space="preserve">Подготовка и оформление документов для получения патентов и лицензий, необходимых для ведения деятельности субъектов МСП </t>
  </si>
  <si>
    <t>Содействие в организации предпринимательской деятельности в сельском хозяйстве:</t>
  </si>
  <si>
    <t>Составление проектов гражданско-правовых договоров: купля-продажа, поставка, аренда, безвозмездное пользование, оказание услуг</t>
  </si>
  <si>
    <t>Составление проектов гражданско-правовых договоров по строительному подряду (в том числе на выполнение проектных работ) (без составления сметы)</t>
  </si>
  <si>
    <t>Письменные юридические услуги и услуги, связанные с правовым обеспечением:</t>
  </si>
  <si>
    <t xml:space="preserve">Помощь в участии в электронных торгах субъекта МСП, СХК </t>
  </si>
  <si>
    <t>Подготовка заявления об изменении плана расходования субсидии  (вместе с планом расходования субсидии )</t>
  </si>
  <si>
    <t xml:space="preserve">                             услуга не оказывается</t>
  </si>
  <si>
    <t>1лист</t>
  </si>
  <si>
    <t>Кольцевая проба с молоком на бруцеллез</t>
  </si>
  <si>
    <t>Определение наличия антибиотиков в молоке</t>
  </si>
  <si>
    <t>13.2.13</t>
  </si>
  <si>
    <t>13.2.14</t>
  </si>
  <si>
    <t>13.2.15</t>
  </si>
  <si>
    <t>13.2.16</t>
  </si>
  <si>
    <t>13.2.17</t>
  </si>
  <si>
    <t>Определение наличия меланина в молоке</t>
  </si>
  <si>
    <t>Определение наличия микотоксинов в молоке (афлатоксин М1)</t>
  </si>
  <si>
    <t>Определение содержания токсичных элементов: свинец, мышьяк, кадмий, ртуть</t>
  </si>
  <si>
    <t xml:space="preserve">    - от чумы плотоядных, парвовирусного энтерита, аденовирусного гепатита, лептоспироза</t>
  </si>
  <si>
    <t>Определение показателей качества молока (на анализаторе качества молока): температура, массовая доля жира и белка, плотность, кислотность, массовая доля СОМО</t>
  </si>
  <si>
    <t>Определение соматических клеток на аппарате "Соматос-мини"</t>
  </si>
  <si>
    <t>Ветеринарно-санитарная экспертиза живой и охлажденной рыбы (объектов аквакультуры) с паразитологией</t>
  </si>
  <si>
    <t>1 страница</t>
  </si>
  <si>
    <t>Изготовление ксерокопий</t>
  </si>
  <si>
    <t>13.2.18</t>
  </si>
  <si>
    <t>13.2.19</t>
  </si>
  <si>
    <t>СОМО (сухой остаток) в молоке</t>
  </si>
  <si>
    <t>Анализ молока на содержание токсичных металлов (кадмий, свинец, мышьяк, ртуть) и хлорорганических пестицидов (ГХЦГ, ДДТ) с отсроченным предоставлением результата</t>
  </si>
  <si>
    <t>Проба с аденокортикотропным гормоном (два определения кортизола)</t>
  </si>
  <si>
    <t>Исследование на дирофиляриоз, анаплазмоз, боррелиоз, эрлихиоз (SNAP 4D)</t>
  </si>
  <si>
    <t>Исследование на дирофиляриоз (Dirofilaria immitis, определение АГ), собаки</t>
  </si>
  <si>
    <t>Исследование на вирусную лейкемию и вирусный иммунодефицит кошек (определение АТ к FIV и АГ FeLV)</t>
  </si>
  <si>
    <t>Исследование на Brucella canis (определение АТ)</t>
  </si>
  <si>
    <t>Антитела класса IgG к Toxoplasma gondii (тИФА, для собак и кошек)</t>
  </si>
  <si>
    <t>Антитела класса IgG к коронавирусной инфекции кошек (тИФА)</t>
  </si>
  <si>
    <t>Антитела класса IgG к FIV (Feline immunodeficiency virus) (тИФА)</t>
  </si>
  <si>
    <t>Определение антигена р27 FeLv (Feline leukemia virus) (тИФА)</t>
  </si>
  <si>
    <r>
      <t>Локус А (агути):</t>
    </r>
    <r>
      <rPr>
        <sz val="12"/>
        <rFont val="Calibri"/>
        <family val="2"/>
        <charset val="204"/>
      </rPr>
      <t xml:space="preserve"> at или aw (черно-подпалый / волчий); ay (соболиный, олений/рыжий); a (рецессивный черный)</t>
    </r>
  </si>
  <si>
    <r>
      <t>Локус E (палевый):</t>
    </r>
    <r>
      <rPr>
        <sz val="12"/>
        <rFont val="Calibri"/>
        <family val="2"/>
        <charset val="204"/>
      </rPr>
      <t xml:space="preserve"> Е (черный); e (палевый); Em (маска)</t>
    </r>
  </si>
  <si>
    <r>
      <t>Локус B (коричневый, кроме породы французский бульдог):</t>
    </r>
    <r>
      <rPr>
        <sz val="12"/>
        <rFont val="Calibri"/>
        <family val="2"/>
        <charset val="204"/>
      </rPr>
      <t xml:space="preserve"> B (черный); b (коричневый, шоколад)</t>
    </r>
  </si>
  <si>
    <r>
      <t>Локус D (не все породы)</t>
    </r>
    <r>
      <rPr>
        <sz val="12"/>
        <rFont val="Calibri"/>
        <family val="2"/>
        <charset val="204"/>
      </rPr>
      <t>: D (интенсивный окрас); d (осветленный окрас)</t>
    </r>
  </si>
  <si>
    <r>
      <t xml:space="preserve">Локус K: </t>
    </r>
    <r>
      <rPr>
        <sz val="12"/>
        <rFont val="Calibri"/>
        <family val="2"/>
        <charset val="204"/>
      </rPr>
      <t>KB (доминантный черный)</t>
    </r>
  </si>
  <si>
    <r>
      <t>Локус M (мерль):</t>
    </r>
    <r>
      <rPr>
        <sz val="12"/>
        <rFont val="Calibri"/>
        <family val="2"/>
        <charset val="204"/>
      </rPr>
      <t xml:space="preserve"> m (не несет аллель окраса мерль); M (мерль)</t>
    </r>
  </si>
  <si>
    <t>Два локуса окраса</t>
  </si>
  <si>
    <t>Три локуса окраса</t>
  </si>
  <si>
    <t>Четыре локуса окраса</t>
  </si>
  <si>
    <t>Длина шерсти акит, сибирских хаски, самоедов (мутация p.A193V (c.578C&gt;T) Породы:  Акита-ину, Американская акита, Сибирская хаски, Самоедская собака (встречаются обе мутации)</t>
  </si>
  <si>
    <r>
      <rPr>
        <sz val="12"/>
        <rFont val="Calibri"/>
        <family val="2"/>
        <charset val="204"/>
        <scheme val="minor"/>
      </rPr>
      <t>Исследование генетики длины шерсти собак (мутация p.C95F (c.284G&gt;T)</t>
    </r>
    <r>
      <rPr>
        <sz val="12"/>
        <rFont val="Tahoma"/>
        <family val="2"/>
        <charset val="204"/>
      </rPr>
      <t xml:space="preserve"> </t>
    </r>
    <r>
      <rPr>
        <sz val="12"/>
        <rFont val="Calibri"/>
        <family val="2"/>
        <charset val="204"/>
        <scheme val="minor"/>
      </rPr>
      <t>(доминантная короткошерстность).  Породы:     Австралийская овчарка (Аусси), Австралийский шелковистый терьер, Аляскинский кли-кай, Аляскинский маламут, Аппенцеллер зенненхунд, Белая швейцарская овчарка, Бельгийская овчарка (Грюнендаль, Лакенуа, Малинуа, Тервюрен), Бивер, Большой швейцарский зенненхунд, Бордер-колли, Бульмастиф, Веймаранер, Вельш-корги кардиган, Вельш-корги пемброк, Вельштерьер, Венгерская выжла, Вест-хайленд-уайт-терьер, Восточноевропейская овчарка, Далматин, Джек-Рассел-терьер, Дирхаунд, Исландская собак, Йоркширский терьер, Керн-терьер, Керри-блю-терьер, Китайская хохлатая собака, Колли, Кувас, Лабрадор-ретривер, Английский мастиф, Мопс, Немецкая овчарка, Норвич-терьер, Норфолк-терьер, Парсон-Рассел-терьер, Немецкий пинчер, Португальский поденгу, Ризеншнауцер, Ротвейлер, Салюки, Самоедская собака, Сенбернар, Таксы, Уиппет, Чесапик-бэй-ретривер, Чихуахуа, Шарпей, Шведский вальхунд, Шиба-ину, Шипперке, Шотландский терьер, Энтлебухер зенненхунд, Эрдельтерьер, Японский хин</t>
    </r>
  </si>
  <si>
    <r>
      <rPr>
        <sz val="12"/>
        <rFont val="Calibri"/>
        <family val="2"/>
        <charset val="204"/>
        <scheme val="minor"/>
      </rPr>
      <t>Длина шерсти на морде (furnishings).</t>
    </r>
    <r>
      <rPr>
        <b/>
        <sz val="8"/>
        <rFont val="Tahoma"/>
        <family val="2"/>
        <charset val="204"/>
      </rPr>
      <t xml:space="preserve"> </t>
    </r>
    <r>
      <rPr>
        <sz val="12"/>
        <rFont val="Calibri"/>
        <family val="2"/>
        <charset val="204"/>
        <scheme val="minor"/>
      </rPr>
      <t>Породы: Австралийский лабрадудль (Коббердог), Брюссельский грифон, Венгерская выжла, Гаванский бишон (Хаванез), Гаванская болонка, Голдендудль, Джек-рассел-терьер, Дратхаар, Ирландский мягкошёрстный пшеничный терьер, Китайская хохлатая собака, Лаготто романьоло (Итальянская водяная собака), Русский черный терьер, Таксы (все разновидности жесткошерстных такс), Ирландский терьер, Лабрадудль ориджинал, Пудель (все разновидности), Португальская водяная собака, Русская болонка, Тибетский терьер, Шнауцер (все разновидности), Шотландский терьер</t>
    </r>
  </si>
  <si>
    <r>
      <rPr>
        <sz val="12"/>
        <rFont val="Calibri"/>
        <family val="2"/>
        <charset val="204"/>
        <scheme val="minor"/>
      </rPr>
      <t>Куцевохвостость.</t>
    </r>
    <r>
      <rPr>
        <b/>
        <sz val="8"/>
        <rFont val="Tahoma"/>
        <family val="2"/>
        <charset val="204"/>
      </rPr>
      <t xml:space="preserve"> </t>
    </r>
    <r>
      <rPr>
        <sz val="12"/>
        <rFont val="Calibri"/>
        <family val="2"/>
        <charset val="204"/>
        <scheme val="minor"/>
      </rPr>
      <t xml:space="preserve">Породы:  Австралийская овчарка (Аусси), Австралийская пастушья собака (Австралийский хилер), Австрийский пинчер, Бразильский терьер, Бретонский спаниель, Бурбонский бракк, Вельш-корги пемброк, Датско-шведский дартхунд, Джек-Рассел-терьер, Испанская водяная собака, Карельская медвежья собака, Леопардовая собака Катахулы, МакНаб, Муди, Пиренейская горная собака, Польская низинная овчарка, Савойская овчарка, Хорватская овчарка, Шведский вальхунд, Шипперке </t>
    </r>
  </si>
  <si>
    <r>
      <rPr>
        <sz val="12"/>
        <rFont val="Calibri"/>
        <family val="2"/>
        <charset val="204"/>
        <scheme val="minor"/>
      </rPr>
      <t>Болезнь фон Виллебранда 1-го типа (von Willebrand Disease, vWD type I).</t>
    </r>
    <r>
      <rPr>
        <b/>
        <sz val="8"/>
        <rFont val="Tahoma"/>
        <family val="2"/>
        <charset val="204"/>
      </rPr>
      <t xml:space="preserve"> </t>
    </r>
    <r>
      <rPr>
        <sz val="12"/>
        <rFont val="Calibri"/>
        <family val="2"/>
        <charset val="204"/>
        <scheme val="minor"/>
      </rPr>
      <t xml:space="preserve"> Породы: Австралийский лабрадудль (Коббердог), Австралийский терьер, Барбет, Бассет-хаунд, Бернедудель, Бернский зенненхунд (Бернская овчарка), Бразильский терьер, Вельш-корги кардиган, Вельш-корги пемброк, Вест-хайленд-уайт-терьер, Вольфшпиц (Кеесхонд), Голдендудль, Доберман, Дрентская куропаточная собака (Дрентский партийсхонд), Золотистый ретривер, Ирландский сеттер (красный и красно-белый), Кавапу, Керри-блю терьер, Кокапу, Котон-де-тулеар (Мадагаскарский бишон), Кромфорлендер, Лабродудль ориджинал, Мальтипу, Манчестер-терьер, Немецкая овчарка, Ньюфипу, Папийон, Пинчер (Немецкий пинчер), Пудель (все разновидности), Ротвейлер, Стабихун, Фален, Цвергпинчер, Цвергшнауцер</t>
    </r>
  </si>
  <si>
    <r>
      <rPr>
        <sz val="12"/>
        <rFont val="Calibri"/>
        <family val="2"/>
        <charset val="204"/>
        <scheme val="minor"/>
      </rPr>
      <t xml:space="preserve">Мозжечковая атаксия IVА типа (Neuronal Ceroid Lipofuscinosis type 4A, NCL-A). </t>
    </r>
    <r>
      <rPr>
        <b/>
        <sz val="8"/>
        <rFont val="Tahoma"/>
        <family val="2"/>
        <charset val="204"/>
      </rPr>
      <t xml:space="preserve"> </t>
    </r>
    <r>
      <rPr>
        <sz val="12"/>
        <rFont val="Calibri"/>
        <family val="2"/>
        <charset val="204"/>
        <scheme val="minor"/>
      </rPr>
      <t>Породы: Американский булли, Американский стаффордширский терьер, 
Американский питбультерьер</t>
    </r>
  </si>
  <si>
    <r>
      <rPr>
        <sz val="12"/>
        <rFont val="Calibri"/>
        <family val="2"/>
        <charset val="204"/>
        <scheme val="minor"/>
      </rPr>
      <t>Нарколепсия лабрадоров (Narcolepsy, NARC).</t>
    </r>
    <r>
      <rPr>
        <b/>
        <sz val="8"/>
        <rFont val="Tahoma"/>
        <family val="2"/>
        <charset val="204"/>
      </rPr>
      <t xml:space="preserve"> </t>
    </r>
    <r>
      <rPr>
        <sz val="12"/>
        <rFont val="Calibri"/>
        <family val="2"/>
        <charset val="204"/>
        <scheme val="minor"/>
      </rPr>
      <t>Породы: Австралийский лабрадудль (Коббердог), Лабрадудль ориджинал, Лабрадор ретривер</t>
    </r>
  </si>
  <si>
    <t>Наследственная катаракта (Cataract, Еarly Оnset, HSF4,HS ). 
Породы: Австралийская овчарка (Аусси), Американский булли, Веллер, Миниатюрная австралийская овчарка, Миниатюрный американская овчарка, Бостон-терьер, Стаффордширский булльтерьер, Французский бульдог, Шорти булл</t>
  </si>
  <si>
    <t xml:space="preserve">L-2-гидроксиглутаровая ацидурия стаффордширских бультерьеров (L2HGA)   Породы: Стаффордширский бультерьер, Шорти булл                                       </t>
  </si>
  <si>
    <t>Аномалия глаз колли (Сollie Eye Anomaly, CEA). Породы: Австралийская овчарка (Аусси), Английская овчарка, Бойкин-спаниель, Колли (все разновидности), Ланкаширский хилер, Миниатюрная американская овчарка, Новошотландский ретривер, Уиппет длинношерстный, Хоккайдо (Айну/ Сета), Шелковистый виндхаунд, Шелти</t>
  </si>
  <si>
    <t>Врожденный гипотиреоз с зобом Terier (CHG) Породы: Рет-терьер, Тентерфилд-терьер, Той-фокстерьер</t>
  </si>
  <si>
    <t>Дварфизм (гипофизарная недостаточность) Породы: сарлосская волчья собака, чехословацкая волчья собака, немецкая овчарка</t>
  </si>
  <si>
    <t>Ихтиоз голден ретриверов (Ichthyosis, ICT-A).  Породы: голден(золотистый)  ретривер.</t>
  </si>
  <si>
    <t>Коллапс, вызываемый физическими нагрузками (Exercise Induced Collapse, EIC).   Породы: Австралийский лабрадудль (Коббердог), Американский кокер спаниель, Английский кокер спаниель, Бобтейл (Староанглийская овчарка), Бойкин-спаниель, Вельш-корги пемброк, Венгерская выжла (все разновидности), Дратхар, Кламбер-спаниель, Кокапу, Курчавошерстный ретривер, Лабрадор ретривер, Лабродудль ориджинал, Фландрский бувье, Чесапик-бей-ретривер</t>
  </si>
  <si>
    <t xml:space="preserve">Мультифокальная ретинопатия (Canine Multifocal Retinopathy 1, CMR1).                    Породы: Австралийская овчарка (Аусси), Американский бульдог, Английский бульдог, Мастиф и родственные ему породы, Бурбуль, Канарский дог, Кане-корсо, Пиренейская горная собака, Финский лаппхунд, Французкий бульдог </t>
  </si>
  <si>
    <t>Наследственная миотония (Myotonia Congenita, MC). Породы: Цвергшнауцер, Миттельшнауцер</t>
  </si>
  <si>
    <t>Наследственный носовой паракератоз ретриверов (Hereditary Nasal Parakeratosis, HNPK).  Породы: Австралийский лабрадудль (Коббердог), Лабрадудоль ориджинал, Лабрадор ретривер</t>
  </si>
  <si>
    <t>Недостаточность фосфофруктокиназы (Phosphofructokinase deficiency, PFK).         Породы: Американский кокер спаниель, Английский кокер спаниель, Ирландский водяной спаниель, Кавалер кинг чарльз спаниель, Кламбер спаниель, Кокапу,  Немецкий вахтельхунд, Суссекс спаниель, Спрингер спаниель, Уиппет, Филд спаниель</t>
  </si>
  <si>
    <t>Первичный вывих хрусталика (Primary Lens Luxation, PLL).  Породы: Австралийская короткохвостая пастушья собака, Австралийская пастушья собака (Австралийский хилер), Австралийский келпи, Американская эскимосская собака, Американский голый терьер, Бедлингтон-терьер, Бивер, Бордер-колли, Бретонский эпаньоль, Вельштерьер, Вестфальский терьер, Вест-хайленд-уайт-терьер, Вольпино итальяно, Датско-шведский дартхунд, Джек-Рассел-терьер, Йоркширский терьер, Китайская собака Фу, Китайская хохлатая собака, Ланкаширский хилер, Лейкленд-терьер, Лукас-терьер, Манчестер-терьер, Миниатюрный бультерьер, Мопс, Немецкий вахтельхунд (Немецкий спаниель), Норвич-терьер, Норфолк-терьер, Парсон-Рассел-терьер, Паттердейл-терьер, Пули, Пуми, Русский той, Рэт-терьер, Силихем-терьер, Тедди Рузвельт терьер, Тентерфилд-терьер, Тибетский терьер, Той-фокстерьер, Фокстерьер (все разновидности), Ягдтерьер</t>
  </si>
  <si>
    <t>Прогрессирующая атрофия сетчатки (Progressive Retinal Atrophy, PRA-cord1(CОne-Rod Dystrophy 1)) Породы: Американский булли, Английский спрингер-спаниель, Курчавошерстный ретривер, Папийон, Таксы (кроме стандартных), Фален</t>
  </si>
  <si>
    <t>Прогрессирующая атрофия сетчатки (Progressive Retinal Atrophy, PRA-prcd (Progressive Rod-Cone Degeneration)).  Породы: Австралийская овчарка (Аусси), Австралийский лабрадудль (Коббердог), Австралийская короткохвостая пастушья собака, Австралийская пастушья собака (Австралийский хилер), Австралийский шелковистый терьер, Американский голый терьер, Американский кокер спаниель, Американская эскимосская собака, Английская овчарка, Английский кокер спаниель, Барбет (Французская водяная собака), Бивер, Бойкин-спаниель, Болоньез, Бернедудль, Бишон фризе, Венгерская выжла, Голдендудль, Голден ретривер (Золотистый ретривер), Испанская водяная собака, Йоркширский терьер, Карельская медвежья собак, Китайская хохлатая собака, Кокапу, Кувас, Лабрадор ретривер, Лабрадудль ориджинал, Лапландская оленегонная собака, Малая львиная собака , Мальтийская болонка (Мальтезе), Мальтипу, Голландский тульпхонд (Маркизье), Миниатюрная американская овчарка, Немецкий шпиц (все разновидности), Новошотландский ретривер (Толлер), Норвежский элкхунд, Папийон, Португальская водяная собака, Португальская кроличья собака (Малый португальский поденгу), Пудель (все разновидности), Ризеншнауцер, Русский той, Рэт-терьер, Финский лаппхунд, Русская цветная болонка, Чесапик-бей-ретривер, Чихуахуа, Шведский лаппхунд, Шипперке, Энтлебухер зенненхунд, Ямтхунд (Шведская лайка)</t>
  </si>
  <si>
    <t>Прогрессирующая атрофия сетчатки (Progressive Retinal Atrophy, PRA-rcd3 (Rod-Cone Dysplasia 3)). Породы: Вельш-корги кардиган, Вельш-корги пемброк, Китайская хохлатая собака, Померанский шпиц, Тибетский спаниель</t>
  </si>
  <si>
    <t>Синдром эпизодического падения (Episodic Falling Syndrome, EFS).   Породы: Кавалер кинг чарльз спаниель, Кинг чарльз спаниель</t>
  </si>
  <si>
    <t>Центроядерная миопатия (Centronuclear Myopathy, CNM).    Породы: Австралийский лабрадудль (Коббердог), Лабродудоль ориджинал, Лабрадор ретривер</t>
  </si>
  <si>
    <t>Чувствительность к медикаментам (Multi-Drug Resistance 1, MDR 1).   Породы: Австралийская овчарка (Аусси), Австралийская пастушья собака (хилер), Английская овчарка, Афганская борзая, Аффенпинчер, Басенджи, Белая швейцарская овчарка, Бобтейл (Староанглийская овчарка), Бордер колли, Бордоский дог (французский мастиф), Валлер, Восточноевропейская овчарка, Кане-корсо, Колли гладкошерстный, Колли длинношерстный, Лабрадор Ретривер, Миниатюрная и той австралийская овчарка, Миниатюрный американская овчарка, Неаполитанский мастиф, Немецкая овчарка, Староанглийский бульдог, Таксы, Уиппет, Французкий бульдог, Чесапик бей ретривер, Шелковистый виндхаунд, Шелти</t>
  </si>
  <si>
    <t>Ювенильный паралич гортани / Полинейропатия (Juvenile Laryngeal Paralysis and Polyneuropathy, JLPP).   Породы: Ротвейлер, Русский черный терьер</t>
  </si>
  <si>
    <t>Австралийская овчарка  (аусси) Аномалия глаз колли (CEA), Дегенеративная миелопатия (DM Ex2), Наследственная катаракта (HC), Прогрессирующая атрофия сетчатки PRA-prcd, Чувствительность к лекарственным препаратам (MDR 1)</t>
  </si>
  <si>
    <t>Австралийская пастушья собака  (хилер) Первичный вывих хрусталика (PLL), Прогрессирующая атрофия сетчатки PRA-prcd, Дегенеративная миелопатия (DM Ex2), Чувствительность к лекарственным препаратам (MDR 1)</t>
  </si>
  <si>
    <t>Американский питбультерьер Гиперурикозурия (HUU), Мозжечковая атаксия (NCL IVA), Прогресирующая атрофия сетчатки PRA-crd2</t>
  </si>
  <si>
    <t>Бурбуль Гиперурикозурия, Дегенеративная миелопатия (DM Ex2), Злокачественная гипертермия (MH), Мультифокальная ретинопатия CMR 1),Чувствительность к лекарственным препаратам (MDR 1)</t>
  </si>
  <si>
    <t>13.1.22</t>
  </si>
  <si>
    <t>13.1.23</t>
  </si>
  <si>
    <t>Определение наличия антибиотиков в мясе, рыбе (бацитрацин)</t>
  </si>
  <si>
    <t>Определение наличия антибиотиков в мясе, рыбе (левомицетин - хлорамфеникол)</t>
  </si>
  <si>
    <t>Определение наличия антибиотиков в мясе, рыбе (тетрациклин и тетрациклины  или вета-лактамы, сульфаниламиды, тетрациклины)</t>
  </si>
  <si>
    <t>Ветеринарно-санитарная экспертиза яиц при реализации на рынках яиц непромышленного изготовления: - органолептические показатели (состояние скорлупы, запах, плотность и цвет белка, состояние и положение желтка, состояние воздушной камеры яиц и ее высота)</t>
  </si>
  <si>
    <t>Вельш корги кардиган/пемброк расширенный  Дегенеративная миелопатия (DM Ex2), Прогрессирующая атрофия сетчатки rcd3-PRA, Болезнь Виллебранда1-го типа,  Длина шерсти</t>
  </si>
  <si>
    <t>Вельш корги кардиган/ пемброк Болезнь Виллебранда I-го типа (vWD type I), Дегенеративная миелопатия (DM Ex2), Длина шерсти</t>
  </si>
  <si>
    <t>Голден ретривер Ихтиоз голден ретриверов (ICT-A), Прогрессирующая атрофия сетчатки GR-PRA1, Прогрессирующая атрофия сетчатки GR-PRA2</t>
  </si>
  <si>
    <t xml:space="preserve">Голден ретривер (расширенный) Прогрессирующая атрофия сетчатки GR-PRA1,  Прогрессирующая атрофия сетчатки GR-PRA2,  Ихтиоз ретриверов,  Прогрессирующая атрофия сетчатки prcd-PRA </t>
  </si>
  <si>
    <t>Доберман Болезнь фон Виллебранда I-го типа (vWD type I), Дилатационная кардиомиопатия (DCM_dob), Нарколепсия доберманов (NARC_dob)</t>
  </si>
  <si>
    <t>Джек Рассел/Парсон Рассел Терьер  расширенный Первичный вывих хрусталика (PLL), Поздняя мозжечковая атаксия (LOA), Спиноцеребеллярная атаксия с миокимией и/или судорогам (SCA)</t>
  </si>
  <si>
    <t>Йоркширский терьер  Гиперурикозурия, Дегенеративная миелопатия (DM Ex2), Первичный вывих хрусталика (PLL), Прогрессирующая атрофия сетчатки PRA-prcd</t>
  </si>
  <si>
    <t>Кавалер кинг чарльз спаниель  (расширенный) Дегенеративная миелопатия (DM Ex2), Мышечная дистрофия кавалер кинг чарльз спаниэлей (DMD-CKCS), Синдром эпизодического падения (EFS), Синдром сухого глаза и курчавошерстности (CKCID)</t>
  </si>
  <si>
    <t xml:space="preserve">Китайская хохлатая  Дегенеративная миелопатия (DM Ex2), Первичный вывих хрусталика (PLL), Прогрессирующая атрофия сетчатки PRA-prcd                                               </t>
  </si>
  <si>
    <t>Кокер спаниель  Гиперурикозурия, Дегенеративная миелопатия (DM Ex2), Недостаточность фосфофруктокиназы, Прогрессирующая атрофия сетчатки PRA-prcd</t>
  </si>
  <si>
    <t>Лабрадор ретривер Коллапс, вызываемый физическими нагрузками (EIC), Наследственный носовой паракератоз ретриверов (HNPK), Прогрессирующая атрофия сетчатки PRA-prcd, Центроядерная миопатия (CNM)</t>
  </si>
  <si>
    <t>Староанглийская овчарка (бобтейл) Первичная цилиарная дискенезия (PCD), Чувствительность к лекарственным препаратам (MDR 1)</t>
  </si>
  <si>
    <t xml:space="preserve">Староанглийская овчарка (бобтейл) (расширенный) Первичная цилиарная дискенезия (PCD), Коллапс, вызываемый физическими нагрузками (EIC), Чувствительность к лекарственным препаратам (MDR 1) </t>
  </si>
  <si>
    <t xml:space="preserve">Таксы (кроме стандартных)Прогрессирующая атрофия сетчатки PRA-cord1 Дегенеративная миелопатия (DM Ex2) Гиперурикозурия </t>
  </si>
  <si>
    <t>Локус А (агути / не агути): А (агути); а (не агути)</t>
  </si>
  <si>
    <t>Локус B: B (черный); b (шоколад); bl (циннамон)</t>
  </si>
  <si>
    <t>Локус C (колорпоинт): cb (бурманский); сs (сиамский)</t>
  </si>
  <si>
    <t>Локус D (осветление окраса): D (интенсивный окрас); d (осветленный окрас)</t>
  </si>
  <si>
    <t>Локус E (амбер): E (не амбер); е (амбер) (только для норвежской лесной кошки)</t>
  </si>
  <si>
    <t>Все окрасы кошек (Локусы А, В, С, D)</t>
  </si>
  <si>
    <t>Рассет (красный) окрас бурм: E (не рассет); er (рассет) Породы: Бурманская кошка</t>
  </si>
  <si>
    <t>Угольный окрас бенгальских кошек: Угольный окрас – угольные по цвету узоры на теле кошки. Является результатом сочетания аллелей APb (аллель азиатской леопардовой кошки) и а (не-агути) по гену А. Породы: Бенгальская</t>
  </si>
  <si>
    <t xml:space="preserve">Длина шерсти кошек, четыре мутации: SS (короткая шерсть); ll (длинная шесть); Sl (короткая шерсть; носитель длинной шерсти) </t>
  </si>
  <si>
    <t>Поликистоз почек (Polycystic Kidney Disease, PKD)
Породы: Американская короткошерстная, Британская длинношерстная, Британская короткошерстная, Бурмилла, Гималайская, Невская маскарадная, Персидская, Русская голубая, Рэгдолл, Священная бирма, Селкирк-рекс, Сибирская, Турецкая ангора, Шартрез, Шотландская вислоухая, Экзотическая</t>
  </si>
  <si>
    <t>Спинальная мышечная атрофия (SMA
Породы: мейн-кун.</t>
  </si>
  <si>
    <t>Гипокалиемия бурм (BHP)  Породы: Австралийский мист, Бурманская кошка (бурма), Бомбейская кошка, Бурмилла, Девон-рекс, Корниш-рекс, Сингапурская кошка (сингапура), Сфинкс, Тиффани, Тонкинская кошка</t>
  </si>
  <si>
    <t>Прогрессирующая атрофия сетчатки (Progressive Retinal Atrophy, PRA-rdAc (Retinal Degeneration in Abyssinian cats)) Породы: Абиссинская, Американская короткошерстная, Американский керл (длинношерстная и короткошерстная), Американский ваерхаер, Балийская (балинезийская, балинез), Бенгальская, Короткошерстный колорпойнт, Корниш-рекс, Манчкин, Ориентальная короткошерстная и длинношерстная, Оцикет, Сейшельская, Сиамская, Сингапурская кошка (сингапура), Сомали, Тонкинийская, Петербол, Яванез</t>
  </si>
  <si>
    <t xml:space="preserve">Абиссинская кошка / Сомали Группа крови кошек Дефицит пируваткиназы Прогрессирующая атрофия сетчатки rdAc </t>
  </si>
  <si>
    <t xml:space="preserve">Британская / Сибирская кошка / Шотландская/ Священная бирма Группа крови кошек Поликистоз почек                                                        </t>
  </si>
  <si>
    <t xml:space="preserve">Гистологическое заключение патолога (приготовление препарата до 2 блоков, до 2 стекол + описательная часть) </t>
  </si>
  <si>
    <t xml:space="preserve">Гистологическое заключение патолога (приготовление преапарта до 6 блоков, до 6 стекол + описательная часть </t>
  </si>
  <si>
    <t xml:space="preserve">Гистологическое заключение патолога   (приготовление препарата(костные фрагменты) до 2 блоков, до 2 стекол + описательная часть) </t>
  </si>
  <si>
    <t>Гистологическое заключение патологов  (Европа, США, Канада)   (приготовление препарата до 2 блоков, до 2 стекол + сканирование стекол + описательная часть)</t>
  </si>
  <si>
    <t>Гистологическое заключение  патологов (Европа, США, Канада) (приготовление препарата(костные фрагменты) до 2 блоков, до 2 стекол + сканирование стекол + описательная часть)</t>
  </si>
  <si>
    <t>Гистологическое исследование некропсийного материала (приготовление препарата до 12 блоков, до 12 стекол + описательная часть)</t>
  </si>
  <si>
    <t xml:space="preserve">Консультация патолога  (Россия)  по стеклам с заключением </t>
  </si>
  <si>
    <t>Сканирование готовых стекол с заключением патологов (США, Канада, Европа) (сканирование готового стекола + описательная часть)</t>
  </si>
  <si>
    <t>Дополнительное окрашивание гистосреза (изготовление стекла из блока + окрашивание)</t>
  </si>
  <si>
    <t>Бабезиоз (пироплазмоз) (Babesia spp.) Кровь (ЭДТА)</t>
  </si>
  <si>
    <t>Бартонеллез (Bartonеlla spp.) Кровь (ЭДТА)</t>
  </si>
  <si>
    <t>Боррелиоз (болезнь Лайма) (Borrelia burgdorferi sensu lato) Синовия (ЭДТА)</t>
  </si>
  <si>
    <t>Бордетеллез (Bordetella bronchiseptica) Соскоб эпителиальных клеток слизистой носовой полости</t>
  </si>
  <si>
    <t>Бруцеллез (Brucella spp.) Биоптат ткани</t>
  </si>
  <si>
    <t>Бруцеллез (Brucella spp.) Синовия (ЭДТА)</t>
  </si>
  <si>
    <t>Бруцеллез (Brucella spp.) Сперма (ЭДТА)</t>
  </si>
  <si>
    <t>Бруцеллез (Brucella spp.) Соскоб эпителиальных клеток со слизистой влагалища</t>
  </si>
  <si>
    <t>Лямблиоз (Giardia lamblia spp.) (ПЦР) Соскоб эпителиальных клеток слизистой прямой кишки</t>
  </si>
  <si>
    <t>Лямблиоз (Giardia lamblia spp.) (ПЦР) Фекалии</t>
  </si>
  <si>
    <t>Дирофиляриоз (Dirofilaria immitis + D. repens) (ПЦР) Кровь (ЭДТА)</t>
  </si>
  <si>
    <t>Кампилобактериоз (Campylobacter spp.) (ПЦР) Фекалии</t>
  </si>
  <si>
    <t>Энтеротоксин (Clostridium perfringes) (ПЦР) Фекалии</t>
  </si>
  <si>
    <t>Коронавирус собак энтеральный (CCoV 1) Соскоб эпителиальных клеток слизистой прямой кишки</t>
  </si>
  <si>
    <t>Коронавирус собак энтеральный (CCoV 1) Фекалии</t>
  </si>
  <si>
    <t>Криптококкоз (Cryptococcus spp.) (ПЦР) Соскоб эпителиальных клеток слизистой носовой полости</t>
  </si>
  <si>
    <t>Криптоспоридиоз (Cryptosporidium spp.) (ПЦР) Фекалии</t>
  </si>
  <si>
    <t>Криптоспоридиоз (Cryptosporidium spp.) (ПЦР) Соскоб эпителиальных клеток слизистой прямой кишки</t>
  </si>
  <si>
    <t>Лейшманиоз (Leishmania infantum) Кровь (ЭДТА)</t>
  </si>
  <si>
    <t>Лейшманиоз (Leishmania infantum) Биоптат ткани</t>
  </si>
  <si>
    <t>Лептоспироз (Leptospira spp.) (ПЦР) Моча</t>
  </si>
  <si>
    <t>Лептоспироз (Leptospira spp.) (ПЦР) Биоптат ткани</t>
  </si>
  <si>
    <t>Микобактериоз (Mycobacterium tuberculosis complex) (ПЦР) Выпотная жидкость (ЭДТА)</t>
  </si>
  <si>
    <t>Микобактериоз (Mycobacterium tuberculosis complex) (ПЦР) Биоптат ткани</t>
  </si>
  <si>
    <t>Микоплазмоз (Mycoplasma canis) (ПЦР) Биоптат ткани</t>
  </si>
  <si>
    <t>Микоплазмоз (Mycoplasma canis) (ПЦР) Сперма (ЭДТА)</t>
  </si>
  <si>
    <t>Микоплазмоз (Mycoplasma canis) (ПЦР) Соскоб эпителиальных клеток со слизистой влагалища</t>
  </si>
  <si>
    <t>Микоплазмоз (Mycoplasma сynos) (ПЦР) Соскоб эпителиальных клеток слизистой носовой полости</t>
  </si>
  <si>
    <t>Микоплазмоз (Mycoplasma сynos) (ПЦР) Бронхоальвеолярный лаваж (ЭДТА)</t>
  </si>
  <si>
    <t>Парвовирусный энтерит (Canine рarvovirus) (ПЦР) Соскоб эпителиальных клеток слизистой прямой кишки</t>
  </si>
  <si>
    <t>Парвовирусный энтерит (Canine рarvovirus) (ПЦР) Фекалии</t>
  </si>
  <si>
    <t>Ротавирусный энтерит (Rotavirus) (ПЦР) Соскоб эпителиальных клеток слизистой прямой кишки</t>
  </si>
  <si>
    <t>Ротавирусный энтерит (Rotavirus) (ПЦР) Фекалии</t>
  </si>
  <si>
    <t>Сальмонеллез (Salmonella spp.) (ПЦР) Соскоб эпителиальных клеток слизистой прямой кишки</t>
  </si>
  <si>
    <t>Сальмонеллез (Salmonella spp.) (ПЦР) Фекалии</t>
  </si>
  <si>
    <t>Toxoplasma gondii (ПЦР) Соскоб эпителиальных клеток конъюнктивы</t>
  </si>
  <si>
    <t>Toxoplasma gondii (ПЦР) Соскоб эпителиальных клеток слизистой ротовой полости</t>
  </si>
  <si>
    <t>Toxoplasma gondii (ПЦР) Выпотная жидкость (ЭДТА)</t>
  </si>
  <si>
    <t>Хламидиоз (Chlamydia spp.) (ПЦР) Соскоб эпителиальных клеток слизистой носовой полости</t>
  </si>
  <si>
    <t>Хламидиоз (Chlamydia spp.) (ПЦР) Бронхоальвеолярный лаваж (ЭДТА)</t>
  </si>
  <si>
    <t>Эрлихиоз (E. canis) (ПЦР) Кровь (ЭДТА)</t>
  </si>
  <si>
    <t>Бабезиоз (пироплазмоз) (Babesia spp.) (ПЦР) Кровь (ЭДТА)</t>
  </si>
  <si>
    <t>Бартонеллез (Bartonella spp.) (ПЦР) Соскоб эпителиальных клеток слизистой ротовой полости</t>
  </si>
  <si>
    <t>Бордетеллез (Bordetella bronchiseptica) (ПЦР) Соскоб эпителиальных клеток слизистой носовой полости</t>
  </si>
  <si>
    <t>Бордетеллез (Bordetella bronchiseptica) (ПЦР) Бронхоальвеолярный лаваж (ЭДТА)</t>
  </si>
  <si>
    <t>Панлейкопения кошек (Feline panleukopenia virus) (ПЦР) Соскоб эпителиальных клеток слизистой прямой кишки</t>
  </si>
  <si>
    <t>Панлейкопения кошек (Feline panleukopenia virus) (ПЦР) Фекалии</t>
  </si>
  <si>
    <t>Гепатозооноз (Hepatozoon canis) (ПЦР) Кровь (ЭДТА)</t>
  </si>
  <si>
    <t>Калицивирус (Feline calicivirus) (ПЦР) Соскоб эпителиальных клеток слизистой носовой полости</t>
  </si>
  <si>
    <t>Герпесвирус кошек (инфекционный ринотрахеит, ИРТ) (Feline herpesvirus) (ПЦР) Биоптат ткани</t>
  </si>
  <si>
    <t>Герпесвирус кошек (инфекционный ринотрахеит, ИРТ) (Feline herpesvirus) (ПЦР) Соскоб эпителиальных клеток конъюнктивы</t>
  </si>
  <si>
    <t>Герпесвирус кошек (инфекционный ринотрахеит, ИРТ) (Feline herpesvirus) (ПЦР) Соскоб эпителиальных клеток слизистой носовой полости</t>
  </si>
  <si>
    <t>Герпесвирус кошек (инфекционный ринотрахеит, ИРТ) (Feline herpesvirus) (ПЦР) Соскоб эпителиальных клеток слизистой ротовой полости</t>
  </si>
  <si>
    <t>Калицивирус (Feline calicivirus) (ПЦР) Соскоб эпителиальных клеток слизистой ротовой полости</t>
  </si>
  <si>
    <t>Калицивирус (Feline calicivirus) (ПЦР) Биоптат ткани</t>
  </si>
  <si>
    <t>Коронавирусная инфекция кошек (Feline coronavirus) (ПЦР) Выпотная жидкость (ЭДТА)</t>
  </si>
  <si>
    <t>Коронавирусная инфекция кошек (Feline coronavirus) (ПЦР) Биоптат ткани</t>
  </si>
  <si>
    <t>Криптококкоз (Cryptococcus spp.) (ПЦР) Бронхоальвеолярный лаваж (ЭДТА)</t>
  </si>
  <si>
    <t>Микобактериоз (Mycobacterium tuberculosis complex) (ПЦР) Бронхоальвеолярный лаваж (ЭДТА)</t>
  </si>
  <si>
    <t>Микоплазмоз (Mycoplasma felis) (ПЦР) Соскоб эпителиальных клеток конъюнктивы</t>
  </si>
  <si>
    <t>Микоплазмоз (Mycoplasma felis) (ПЦР) Соскоб эпителиальных клеток слизистой носовой полости</t>
  </si>
  <si>
    <t>Трихономоз (Tritrichomonas blagburni (foetus)) (ПЦР) Фекалии</t>
  </si>
  <si>
    <t>Трихономоз (Tritrichomonas blagburni (foetus)) (ПЦР) Глубокий смыв с кишечника (техника взятия  в приложении №2)</t>
  </si>
  <si>
    <t>Хламидиоз (Chl. felis) (ПЦР) Соскоб эпителиальных клеток конъюнктивы</t>
  </si>
  <si>
    <t>Хламидиоз (Chl. felis) (ПЦР) Соскоб эпителиальных клеток слизистой носовой полости</t>
  </si>
  <si>
    <r>
      <t>Вирус лейкемии (FeLV, обнаружение вирусной РНК и провирусной ДНК одновременно)</t>
    </r>
    <r>
      <rPr>
        <sz val="12"/>
        <color indexed="8"/>
        <rFont val="Calibri"/>
        <family val="2"/>
        <charset val="204"/>
      </rPr>
      <t xml:space="preserve"> Сыворотка крови + Кровь (ЭДТА)</t>
    </r>
  </si>
  <si>
    <t>Кровепаразитарный малый профиль (анаплазма (Anaplasma phagocytophilum и Anaplasma platys,  дифференциальная диагностика)), бабезия (Babesia spp.), Эрлихия (Ehrlichia canis) Кровь (ЭДТА)</t>
  </si>
  <si>
    <r>
      <t xml:space="preserve">Стоматологический большой профиль  </t>
    </r>
    <r>
      <rPr>
        <sz val="12"/>
        <color indexed="8"/>
        <rFont val="Calibri"/>
        <family val="2"/>
        <charset val="204"/>
      </rPr>
      <t xml:space="preserve">(вирус иммунодефицита (FIV, обнаружение провирусной ДНК), вирус лейкемии (FeLV, обнаружение провирусной ДНК), калицивирус (FCV), бартонелла (Bartonalla spp.)) Соскоб эпителиальных клеток слизистой ротовой полости  + Кровь (ЭДТА)     </t>
    </r>
  </si>
  <si>
    <t xml:space="preserve">Посев на грибы рода Candida с определением чувствительности к антимикотическим препаратам </t>
  </si>
  <si>
    <t xml:space="preserve">Посев на грибы рода Candida, Malassezia с определением чувствительности к антимикотическим препаратам </t>
  </si>
  <si>
    <t>Коронавирусный гастроэнтерит (Feline coronavirus enteritis) (ПЦР) Соскоб эпителиальных клеток слизистой прямой кишки</t>
  </si>
  <si>
    <t>Коронавирусный гастроэнтерит (Feline coronavirus enteritis) (ПЦР) Фекалии</t>
  </si>
  <si>
    <t>Anaplasma Phagocytophilum/Anaplasma platys</t>
  </si>
  <si>
    <t>Боррелиоз (болезнь Лайма) (Borrelia burgdorferi sensu lato) (ПЦР)</t>
  </si>
  <si>
    <t>Эрлихиоз (E. canis) (ПЦР)</t>
  </si>
  <si>
    <t>Исследование клеща (анаплазма (Anaplasma phagocytophilum и Anaplasma platys,  дифференциальная диагностика), бабезия (Babesia spp.), эрлихия (Ehrlichia canis), боррелия (Borrelia burgdorferi sensu lato)</t>
  </si>
  <si>
    <t>Диагностика бруцеллеза (Brucella canis) методом быстрой агглютинации на стекле (RSAT\ME-RSAT)</t>
  </si>
  <si>
    <t>от 15 марта 2022 г № 85</t>
  </si>
  <si>
    <t xml:space="preserve"> - Каниген (для иммунизации собак против чумы, инфекционного гепатита, аденовирусной инфекции, парагриппа, парвовирусного энтерита и лептоспироза собак)</t>
  </si>
  <si>
    <t xml:space="preserve"> - собак до 4 кг</t>
  </si>
  <si>
    <t xml:space="preserve">Удаление матки (с учетом стоимости наркоза): </t>
  </si>
  <si>
    <t xml:space="preserve">   - против лептоспироза</t>
  </si>
  <si>
    <t xml:space="preserve">   - против лептоспироза и бешенства</t>
  </si>
  <si>
    <t xml:space="preserve">  - против чумы плотоядных, инфекционного гепатита, парвовирусного энтерита и парагриппа собак, лептоспироза и бешенства</t>
  </si>
  <si>
    <t xml:space="preserve">   - от чумы плотоядных, инфекционного гепатита, парвовирусного энтерита, парагриппа, лептоспироза</t>
  </si>
  <si>
    <t xml:space="preserve">   - от чумы плотоядных, инфекционного гепатита, парвовирусного энтерита, парагриппа, лептоспироза, бешенства</t>
  </si>
  <si>
    <t>1.3.88</t>
  </si>
  <si>
    <t>Лапароскопическая овариоэктомия, овариогистерэктомия (без учета стоимости наркоза)</t>
  </si>
  <si>
    <t>1.3.89</t>
  </si>
  <si>
    <t>Лапароскопическое удаление крипторхированного семенника собаки (без учета стоимости наркоза)</t>
  </si>
  <si>
    <t xml:space="preserve">Катетеризация мочевого пузыря </t>
  </si>
  <si>
    <t>1.3.90</t>
  </si>
  <si>
    <t>1.3.90.1</t>
  </si>
  <si>
    <t>1.3.90.2</t>
  </si>
  <si>
    <t>1.3.90.3</t>
  </si>
  <si>
    <t>1.3.90.4</t>
  </si>
  <si>
    <t>Эндоскопическое удаление полипов (нос, ухо) без учета стоимости наркоза:</t>
  </si>
  <si>
    <t>- животное весом от 5 до 15 кг</t>
  </si>
  <si>
    <t>- животное весом свыше 30 кг</t>
  </si>
  <si>
    <t>- животное весом от 15 до 30 кг</t>
  </si>
  <si>
    <t>Хлор (на биохимическом анализаторе)</t>
  </si>
  <si>
    <t>Определение гистамина</t>
  </si>
  <si>
    <t>1 новообразование</t>
  </si>
  <si>
    <t>9.36</t>
  </si>
  <si>
    <t>1.3.91</t>
  </si>
  <si>
    <t>Эндоскопическая биопсия новообразования в брюшной полости (без учета стоимости наркоза)</t>
  </si>
  <si>
    <t>Оформление результатов исследований и протоколов результатов испытаний</t>
  </si>
  <si>
    <t>1.1.16.5</t>
  </si>
  <si>
    <t>-струйное 1 компонент</t>
  </si>
  <si>
    <t>Пуревакс RCP</t>
  </si>
  <si>
    <t>1.1.39.1</t>
  </si>
  <si>
    <t>Пуревакс RCPCh для защиты от хламидиоза</t>
  </si>
  <si>
    <t>1.3.92</t>
  </si>
  <si>
    <t>Буллотомия (без учета стоимости наркоза):</t>
  </si>
  <si>
    <t>1.3.92.1</t>
  </si>
  <si>
    <t>1.3.92.2</t>
  </si>
  <si>
    <t>Паразитологическое исследование рыбы и посадочного материала, икры и пищевой продукции (сырья)</t>
  </si>
  <si>
    <t>изменения от 02.02.2022г № 32-П, от 25.02.22г № 55-П, от 04.03.22г  № 70-П, от 15.03.22г № 85-П, от 25.03.22г № 109-П, от 06.04.22г № 130-П, от 13.04.22г № 139-П, от 15.04.22г № 148-П, от 25.04.22г № 172-П, от 13.05.22г № 211-П, от 30.05.22г № 249-П, от 17.06.22г №289-П</t>
  </si>
  <si>
    <t>4.32</t>
  </si>
  <si>
    <t>Лейкоз ПЦР (ПЦР-РВ метод), для мясных бычков на откорме, при сдаче партии от 10 до 14 проб</t>
  </si>
  <si>
    <t>от 10 до 14 проб одновременная постановка</t>
  </si>
  <si>
    <t>1.1.15.19</t>
  </si>
  <si>
    <t>1.1.15.20</t>
  </si>
  <si>
    <t>Введение лекарственных препаратов: внутримышечное, подкожное, глазное, назальное, капельное, пероральное (без учета стоимости лекарственного препарата)</t>
  </si>
  <si>
    <t>Введение лекарственных препаратов: внутримышечное, подкожное, глазное, назальное, капельное, пероральное - стерофундин (50 мл)</t>
  </si>
  <si>
    <t>1.1.16.6</t>
  </si>
  <si>
    <t>1.1.66</t>
  </si>
  <si>
    <t>Микроскопия на совместимость группы крови</t>
  </si>
  <si>
    <r>
      <t>Ветеринарно-санитарное обследование</t>
    </r>
    <r>
      <rPr>
        <sz val="11"/>
        <rFont val="Calibri"/>
        <family val="2"/>
        <charset val="204"/>
      </rPr>
      <t xml:space="preserve"> </t>
    </r>
    <r>
      <rPr>
        <sz val="11"/>
        <rFont val="Times New Roman"/>
        <family val="1"/>
        <charset val="204"/>
      </rPr>
      <t>пчелопасеки с оформлением ветеринарно-санитарного паспорта пчелопасеки</t>
    </r>
  </si>
  <si>
    <t>1.4.25</t>
  </si>
  <si>
    <t>Дебридмент роговицы</t>
  </si>
  <si>
    <t>Внутривенное капельное введение лекарственных препаратов, в том числе через инфузомат (без учета стоимости лекарственного препарата)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</si>
</sst>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00"/>
    <numFmt numFmtId="165" formatCode="0.0%"/>
    <numFmt numFmtId="166" formatCode="_-* #,##0_р_._-;\-* #,##0_р_._-;_-* &quot;-&quot;??_р_._-;_-@_-"/>
  </numFmts>
  <fonts count="65" x14ac:knownFonts="1">
    <font>
      <sz val="10"/>
      <name val="Arial"/>
      <family val="2"/>
      <charset val="204"/>
    </font>
    <font>
      <sz val="11"/>
      <color indexed="8"/>
      <name val="Calibri"/>
      <family val="2"/>
      <charset val="204"/>
    </font>
    <font>
      <sz val="14"/>
      <name val="Arial Cyr"/>
      <family val="2"/>
      <charset val="204"/>
    </font>
    <font>
      <b/>
      <i/>
      <u/>
      <sz val="16"/>
      <color indexed="8"/>
      <name val="Calibri"/>
      <family val="2"/>
      <charset val="204"/>
    </font>
    <font>
      <b/>
      <i/>
      <u/>
      <sz val="16"/>
      <name val="Arial Cyr"/>
      <family val="2"/>
      <charset val="204"/>
    </font>
    <font>
      <sz val="14"/>
      <color indexed="8"/>
      <name val="Calibri"/>
      <family val="2"/>
      <charset val="204"/>
    </font>
    <font>
      <sz val="14"/>
      <color indexed="8"/>
      <name val="Calibri"/>
      <family val="2"/>
      <charset val="204"/>
    </font>
    <font>
      <sz val="8"/>
      <name val="Arial"/>
      <family val="2"/>
      <charset val="204"/>
    </font>
    <font>
      <sz val="14"/>
      <name val="Calibri"/>
      <family val="2"/>
      <charset val="204"/>
    </font>
    <font>
      <sz val="12"/>
      <color indexed="8"/>
      <name val="Calibri"/>
      <family val="2"/>
      <charset val="204"/>
    </font>
    <font>
      <sz val="12"/>
      <name val="Calibri"/>
      <family val="2"/>
      <charset val="204"/>
    </font>
    <font>
      <sz val="14"/>
      <color indexed="8"/>
      <name val="Arial"/>
      <family val="2"/>
      <charset val="204"/>
    </font>
    <font>
      <b/>
      <sz val="12"/>
      <color indexed="8"/>
      <name val="Calibri"/>
      <family val="2"/>
      <charset val="204"/>
    </font>
    <font>
      <sz val="14"/>
      <color indexed="8"/>
      <name val="Arial Rounded MT Bold"/>
      <family val="2"/>
    </font>
    <font>
      <sz val="11"/>
      <color theme="1"/>
      <name val="Times New Roman"/>
      <family val="1"/>
      <charset val="204"/>
    </font>
    <font>
      <sz val="10"/>
      <color theme="1"/>
      <name val="Times New Roman"/>
      <family val="1"/>
      <charset val="204"/>
    </font>
    <font>
      <sz val="7"/>
      <color theme="1"/>
      <name val="Times New Roman"/>
      <family val="1"/>
      <charset val="204"/>
    </font>
    <font>
      <sz val="10"/>
      <color theme="1"/>
      <name val="Calibri"/>
      <family val="2"/>
      <charset val="204"/>
      <scheme val="minor"/>
    </font>
    <font>
      <sz val="10"/>
      <color rgb="FF000000"/>
      <name val="Times New Roman"/>
      <family val="1"/>
      <charset val="204"/>
    </font>
    <font>
      <sz val="10"/>
      <color indexed="8"/>
      <name val="Times New Roman"/>
      <family val="1"/>
      <charset val="204"/>
    </font>
    <font>
      <b/>
      <i/>
      <sz val="14"/>
      <color indexed="8"/>
      <name val="Calibri"/>
      <family val="2"/>
      <charset val="204"/>
    </font>
    <font>
      <sz val="13"/>
      <color theme="1"/>
      <name val="Times New Roman"/>
      <family val="1"/>
      <charset val="204"/>
    </font>
    <font>
      <sz val="13"/>
      <color theme="1"/>
      <name val="Calibri"/>
      <family val="2"/>
      <scheme val="minor"/>
    </font>
    <font>
      <sz val="12"/>
      <color theme="1"/>
      <name val="Times New Roman"/>
      <family val="1"/>
      <charset val="204"/>
    </font>
    <font>
      <b/>
      <i/>
      <sz val="16"/>
      <color indexed="8"/>
      <name val="Calibri"/>
      <family val="2"/>
      <charset val="204"/>
    </font>
    <font>
      <b/>
      <i/>
      <sz val="18"/>
      <color indexed="8"/>
      <name val="Calibri"/>
      <family val="2"/>
      <charset val="204"/>
    </font>
    <font>
      <b/>
      <u/>
      <sz val="12"/>
      <color indexed="8"/>
      <name val="Calibri"/>
      <family val="2"/>
      <charset val="204"/>
    </font>
    <font>
      <sz val="11"/>
      <color theme="0"/>
      <name val="Times New Roman"/>
      <family val="1"/>
      <charset val="204"/>
    </font>
    <font>
      <b/>
      <i/>
      <u/>
      <sz val="16"/>
      <color theme="0"/>
      <name val="Calibri"/>
      <family val="2"/>
      <charset val="204"/>
    </font>
    <font>
      <b/>
      <i/>
      <u/>
      <sz val="16"/>
      <color theme="0"/>
      <name val="Arial Cyr"/>
      <family val="2"/>
      <charset val="204"/>
    </font>
    <font>
      <sz val="14"/>
      <name val="Arial"/>
      <family val="2"/>
      <charset val="204"/>
    </font>
    <font>
      <sz val="13"/>
      <color indexed="8"/>
      <name val="Calibri"/>
      <family val="2"/>
      <charset val="204"/>
    </font>
    <font>
      <sz val="12"/>
      <name val="Arial Cyr"/>
      <family val="2"/>
      <charset val="204"/>
    </font>
    <font>
      <sz val="12"/>
      <color theme="0"/>
      <name val="Times New Roman"/>
      <family val="1"/>
      <charset val="204"/>
    </font>
    <font>
      <sz val="12"/>
      <color theme="1"/>
      <name val="Calibri"/>
      <family val="2"/>
      <scheme val="minor"/>
    </font>
    <font>
      <sz val="10"/>
      <name val="Symbol"/>
      <family val="1"/>
      <charset val="2"/>
    </font>
    <font>
      <sz val="7"/>
      <name val="Times New Roman"/>
      <family val="1"/>
      <charset val="204"/>
    </font>
    <font>
      <sz val="10"/>
      <name val="Times New Roman"/>
      <family val="1"/>
      <charset val="204"/>
    </font>
    <font>
      <sz val="11"/>
      <name val="Calibri"/>
      <family val="2"/>
      <charset val="204"/>
    </font>
    <font>
      <b/>
      <sz val="12"/>
      <name val="Calibri"/>
      <family val="2"/>
      <charset val="204"/>
    </font>
    <font>
      <b/>
      <i/>
      <u/>
      <sz val="16"/>
      <name val="Calibri"/>
      <family val="2"/>
      <charset val="204"/>
    </font>
    <font>
      <sz val="12"/>
      <name val="Times New Roman"/>
      <family val="1"/>
      <charset val="204"/>
    </font>
    <font>
      <b/>
      <sz val="8"/>
      <color indexed="81"/>
      <name val="Tahoma"/>
      <family val="2"/>
      <charset val="204"/>
    </font>
    <font>
      <sz val="8"/>
      <color indexed="81"/>
      <name val="Tahoma"/>
      <family val="2"/>
      <charset val="204"/>
    </font>
    <font>
      <sz val="11"/>
      <name val="Times New Roman"/>
      <family val="1"/>
      <charset val="204"/>
    </font>
    <font>
      <sz val="12"/>
      <name val="Arial"/>
      <family val="2"/>
    </font>
    <font>
      <sz val="10"/>
      <color indexed="8"/>
      <name val="Calibri"/>
      <family val="2"/>
      <charset val="204"/>
    </font>
    <font>
      <sz val="12"/>
      <name val="Calibri"/>
      <family val="2"/>
      <charset val="204"/>
      <scheme val="minor"/>
    </font>
    <font>
      <sz val="12"/>
      <color rgb="FFFF0000"/>
      <name val="Calibri"/>
      <family val="2"/>
      <charset val="204"/>
    </font>
    <font>
      <sz val="12"/>
      <color indexed="8"/>
      <name val="Times New Roman"/>
      <family val="1"/>
      <charset val="204"/>
    </font>
    <font>
      <sz val="10"/>
      <name val="Arial"/>
      <family val="2"/>
      <charset val="204"/>
    </font>
    <font>
      <sz val="9"/>
      <color indexed="8"/>
      <name val="Calibri"/>
      <family val="2"/>
      <charset val="204"/>
    </font>
    <font>
      <sz val="11"/>
      <color theme="1"/>
      <name val="Arial"/>
      <family val="2"/>
      <charset val="204"/>
    </font>
    <font>
      <sz val="10"/>
      <color rgb="FFFF0000"/>
      <name val="Times New Roman"/>
      <family val="1"/>
      <charset val="204"/>
    </font>
    <font>
      <sz val="12"/>
      <color rgb="FF00B050"/>
      <name val="Calibri"/>
      <family val="2"/>
      <charset val="204"/>
    </font>
    <font>
      <sz val="10"/>
      <color rgb="FF00B050"/>
      <name val="Times New Roman"/>
      <family val="1"/>
      <charset val="204"/>
    </font>
    <font>
      <sz val="14"/>
      <color rgb="FFFF0000"/>
      <name val="Arial Cyr"/>
      <family val="2"/>
      <charset val="204"/>
    </font>
    <font>
      <sz val="11"/>
      <color indexed="8"/>
      <name val="Times New Roman"/>
      <family val="1"/>
      <charset val="204"/>
    </font>
    <font>
      <b/>
      <sz val="12"/>
      <color indexed="8"/>
      <name val="Times New Roman"/>
      <family val="1"/>
      <charset val="204"/>
    </font>
    <font>
      <b/>
      <u/>
      <sz val="12"/>
      <color indexed="8"/>
      <name val="Times New Roman"/>
      <family val="1"/>
      <charset val="204"/>
    </font>
    <font>
      <sz val="8"/>
      <name val="Tahoma"/>
      <family val="2"/>
      <charset val="204"/>
    </font>
    <font>
      <b/>
      <sz val="8"/>
      <name val="Tahoma"/>
      <family val="2"/>
      <charset val="204"/>
    </font>
    <font>
      <sz val="12"/>
      <name val="Tahoma"/>
      <family val="2"/>
      <charset val="204"/>
    </font>
    <font>
      <sz val="10"/>
      <name val="Arial"/>
      <family val="2"/>
    </font>
    <font>
      <sz val="10"/>
      <name val="Calibri"/>
      <family val="2"/>
      <charset val="204"/>
    </font>
  </fonts>
  <fills count="17">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9"/>
        <bgColor indexed="55"/>
      </patternFill>
    </fill>
    <fill>
      <patternFill patternType="solid">
        <fgColor indexed="9"/>
        <bgColor indexed="50"/>
      </patternFill>
    </fill>
    <fill>
      <patternFill patternType="solid">
        <fgColor indexed="9"/>
        <bgColor indexed="47"/>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indexed="55"/>
      </patternFill>
    </fill>
    <fill>
      <patternFill patternType="solid">
        <fgColor theme="5" tint="0.79998168889431442"/>
        <bgColor indexed="64"/>
      </patternFill>
    </fill>
    <fill>
      <patternFill patternType="solid">
        <fgColor theme="9" tint="0.79998168889431442"/>
        <bgColor indexed="55"/>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CCFF"/>
        <bgColor indexed="64"/>
      </patternFill>
    </fill>
    <fill>
      <patternFill patternType="solid">
        <fgColor rgb="FFFFFF00"/>
        <bgColor indexed="64"/>
      </patternFill>
    </fill>
    <fill>
      <patternFill patternType="solid">
        <fgColor rgb="FF00B0F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s>
  <cellStyleXfs count="3">
    <xf numFmtId="0" fontId="0" fillId="0" borderId="0"/>
    <xf numFmtId="0" fontId="1" fillId="0" borderId="0"/>
    <xf numFmtId="43" fontId="50" fillId="0" borderId="0" applyFont="0" applyFill="0" applyBorder="0" applyAlignment="0" applyProtection="0"/>
  </cellStyleXfs>
  <cellXfs count="480">
    <xf numFmtId="0" fontId="0" fillId="0" borderId="0" xfId="0"/>
    <xf numFmtId="0" fontId="1" fillId="0" borderId="0" xfId="1"/>
    <xf numFmtId="0" fontId="2" fillId="0" borderId="0" xfId="1" applyFont="1" applyAlignment="1">
      <alignment horizontal="right"/>
    </xf>
    <xf numFmtId="0" fontId="3" fillId="0" borderId="0" xfId="1" applyFont="1"/>
    <xf numFmtId="0" fontId="1" fillId="0" borderId="0" xfId="1" applyAlignment="1">
      <alignment horizontal="center" vertical="center" wrapText="1"/>
    </xf>
    <xf numFmtId="0" fontId="1" fillId="2" borderId="0" xfId="1" applyFill="1"/>
    <xf numFmtId="0" fontId="1" fillId="3" borderId="0" xfId="1" applyFill="1"/>
    <xf numFmtId="49" fontId="5" fillId="3" borderId="0" xfId="1" applyNumberFormat="1" applyFont="1" applyFill="1" applyBorder="1" applyAlignment="1">
      <alignment horizontal="center" vertical="center"/>
    </xf>
    <xf numFmtId="0" fontId="5" fillId="3" borderId="0" xfId="1" applyFont="1" applyFill="1" applyBorder="1" applyAlignment="1">
      <alignment horizontal="left" vertical="center" wrapText="1"/>
    </xf>
    <xf numFmtId="0" fontId="5" fillId="2" borderId="0" xfId="1" applyFont="1" applyFill="1" applyBorder="1" applyAlignment="1">
      <alignment horizontal="left" vertical="center"/>
    </xf>
    <xf numFmtId="0" fontId="5" fillId="2" borderId="0" xfId="1" applyFont="1" applyFill="1" applyBorder="1" applyAlignment="1">
      <alignment horizontal="center" vertical="center"/>
    </xf>
    <xf numFmtId="0" fontId="1" fillId="3" borderId="0" xfId="1" applyFill="1" applyBorder="1"/>
    <xf numFmtId="0" fontId="5" fillId="0" borderId="1" xfId="1" applyFont="1" applyBorder="1" applyAlignment="1">
      <alignment horizontal="left" vertical="center" wrapText="1"/>
    </xf>
    <xf numFmtId="9" fontId="1" fillId="0" borderId="0" xfId="1" applyNumberFormat="1" applyAlignment="1">
      <alignment horizontal="center" vertical="center" wrapText="1"/>
    </xf>
    <xf numFmtId="1" fontId="1" fillId="0" borderId="0" xfId="1" applyNumberFormat="1"/>
    <xf numFmtId="0" fontId="1" fillId="7" borderId="0" xfId="1" applyFill="1" applyBorder="1"/>
    <xf numFmtId="0" fontId="5" fillId="0" borderId="1" xfId="1" applyFont="1" applyBorder="1" applyAlignment="1">
      <alignment horizontal="center" vertical="center" wrapText="1"/>
    </xf>
    <xf numFmtId="4" fontId="5" fillId="0" borderId="1" xfId="1" applyNumberFormat="1" applyFont="1" applyBorder="1" applyAlignment="1">
      <alignment horizontal="center" vertical="center" wrapText="1"/>
    </xf>
    <xf numFmtId="0" fontId="5" fillId="0" borderId="0" xfId="1" applyFont="1"/>
    <xf numFmtId="0" fontId="1" fillId="0" borderId="0" xfId="1" applyAlignment="1">
      <alignment horizontal="left" vertical="center"/>
    </xf>
    <xf numFmtId="0" fontId="5" fillId="0" borderId="1" xfId="1" applyFont="1" applyBorder="1"/>
    <xf numFmtId="0" fontId="1" fillId="0" borderId="0" xfId="1" applyAlignment="1">
      <alignment horizontal="right" vertical="center"/>
    </xf>
    <xf numFmtId="0" fontId="1" fillId="7" borderId="0" xfId="1" applyFill="1"/>
    <xf numFmtId="49" fontId="9" fillId="0" borderId="1" xfId="1" applyNumberFormat="1" applyFont="1" applyBorder="1" applyAlignment="1">
      <alignment horizontal="center" vertical="center"/>
    </xf>
    <xf numFmtId="0" fontId="9" fillId="0" borderId="1" xfId="1" applyFont="1" applyBorder="1" applyAlignment="1">
      <alignment horizontal="left" vertical="center" wrapText="1"/>
    </xf>
    <xf numFmtId="49" fontId="9" fillId="0" borderId="1" xfId="0" applyNumberFormat="1" applyFont="1" applyBorder="1" applyAlignment="1">
      <alignment horizontal="center" vertical="center"/>
    </xf>
    <xf numFmtId="0" fontId="9" fillId="0" borderId="1" xfId="0" applyFont="1" applyBorder="1" applyAlignment="1">
      <alignment horizontal="left" vertical="center" wrapText="1"/>
    </xf>
    <xf numFmtId="0" fontId="9" fillId="2" borderId="1" xfId="1" applyFont="1" applyFill="1" applyBorder="1" applyAlignment="1">
      <alignment vertical="center" wrapText="1"/>
    </xf>
    <xf numFmtId="0" fontId="9" fillId="2" borderId="1" xfId="1" applyFont="1" applyFill="1" applyBorder="1" applyAlignment="1">
      <alignment vertical="center"/>
    </xf>
    <xf numFmtId="0" fontId="9" fillId="7" borderId="1" xfId="0" applyFont="1" applyFill="1" applyBorder="1" applyAlignment="1">
      <alignment horizontal="left" vertical="center"/>
    </xf>
    <xf numFmtId="0" fontId="9" fillId="7" borderId="1" xfId="1" applyFont="1" applyFill="1" applyBorder="1" applyAlignment="1">
      <alignment horizontal="left"/>
    </xf>
    <xf numFmtId="0" fontId="9" fillId="0" borderId="0" xfId="1" applyFont="1" applyAlignment="1">
      <alignment horizontal="left"/>
    </xf>
    <xf numFmtId="0" fontId="10" fillId="0" borderId="1" xfId="1" applyFont="1" applyBorder="1" applyAlignment="1">
      <alignment horizontal="left" vertical="center" wrapText="1"/>
    </xf>
    <xf numFmtId="49" fontId="9" fillId="0" borderId="5" xfId="1" applyNumberFormat="1" applyFont="1" applyBorder="1" applyAlignment="1">
      <alignment horizontal="center" vertical="center"/>
    </xf>
    <xf numFmtId="0" fontId="9" fillId="7" borderId="6" xfId="1" applyFont="1" applyFill="1" applyBorder="1" applyAlignment="1">
      <alignment horizontal="left"/>
    </xf>
    <xf numFmtId="0" fontId="1" fillId="0" borderId="5" xfId="1" applyBorder="1"/>
    <xf numFmtId="49" fontId="9" fillId="0" borderId="6" xfId="1" applyNumberFormat="1" applyFont="1" applyBorder="1" applyAlignment="1">
      <alignment horizontal="center" vertical="center"/>
    </xf>
    <xf numFmtId="0" fontId="9" fillId="0" borderId="6" xfId="1" applyFont="1" applyBorder="1" applyAlignment="1">
      <alignment horizontal="left" vertical="center" wrapText="1"/>
    </xf>
    <xf numFmtId="0" fontId="9" fillId="0" borderId="5" xfId="1" applyFont="1" applyBorder="1" applyAlignment="1">
      <alignment horizontal="left" vertical="center" wrapText="1"/>
    </xf>
    <xf numFmtId="0" fontId="9" fillId="0" borderId="6" xfId="0" applyFont="1" applyBorder="1" applyAlignment="1">
      <alignment horizontal="left" vertical="center" wrapText="1"/>
    </xf>
    <xf numFmtId="0" fontId="9" fillId="0" borderId="5" xfId="0" applyFont="1" applyBorder="1" applyAlignment="1">
      <alignment horizontal="left" vertical="center" wrapText="1"/>
    </xf>
    <xf numFmtId="49" fontId="9" fillId="7" borderId="6" xfId="0" applyNumberFormat="1" applyFont="1" applyFill="1" applyBorder="1" applyAlignment="1">
      <alignment horizontal="center" vertical="center"/>
    </xf>
    <xf numFmtId="0" fontId="9" fillId="7" borderId="6" xfId="0" applyFont="1" applyFill="1" applyBorder="1" applyAlignment="1">
      <alignment horizontal="left" vertical="center"/>
    </xf>
    <xf numFmtId="0" fontId="9" fillId="7" borderId="6" xfId="0" applyFont="1" applyFill="1" applyBorder="1" applyAlignment="1">
      <alignment horizontal="center" vertical="center"/>
    </xf>
    <xf numFmtId="0" fontId="11" fillId="0" borderId="0" xfId="1" applyFont="1" applyAlignment="1">
      <alignment horizontal="right"/>
    </xf>
    <xf numFmtId="2" fontId="11" fillId="0" borderId="0" xfId="1" applyNumberFormat="1" applyFont="1" applyAlignment="1">
      <alignment horizontal="right"/>
    </xf>
    <xf numFmtId="2" fontId="12" fillId="0" borderId="0" xfId="1" applyNumberFormat="1" applyFont="1" applyAlignment="1">
      <alignment horizontal="right"/>
    </xf>
    <xf numFmtId="0" fontId="13" fillId="0" borderId="0" xfId="1" applyFont="1" applyAlignment="1">
      <alignment horizontal="right"/>
    </xf>
    <xf numFmtId="0" fontId="1" fillId="0" borderId="0" xfId="1" applyAlignment="1">
      <alignment horizontal="center"/>
    </xf>
    <xf numFmtId="49" fontId="9" fillId="0" borderId="0" xfId="0" applyNumberFormat="1" applyFont="1" applyBorder="1" applyAlignment="1">
      <alignment horizontal="center" vertical="center"/>
    </xf>
    <xf numFmtId="0" fontId="1" fillId="0" borderId="0" xfId="1" applyBorder="1"/>
    <xf numFmtId="0" fontId="5" fillId="0" borderId="1" xfId="1" applyFont="1" applyBorder="1" applyAlignment="1">
      <alignment wrapText="1"/>
    </xf>
    <xf numFmtId="0" fontId="1" fillId="0" borderId="0" xfId="1" applyAlignment="1">
      <alignment horizontal="left"/>
    </xf>
    <xf numFmtId="3" fontId="1" fillId="0" borderId="0" xfId="1" applyNumberFormat="1"/>
    <xf numFmtId="1" fontId="2" fillId="0" borderId="0" xfId="1" applyNumberFormat="1" applyFont="1" applyAlignment="1">
      <alignment horizontal="right"/>
    </xf>
    <xf numFmtId="1" fontId="4" fillId="0" borderId="0" xfId="1" applyNumberFormat="1" applyFont="1" applyAlignment="1">
      <alignment horizontal="right"/>
    </xf>
    <xf numFmtId="1" fontId="1" fillId="0" borderId="0" xfId="1" applyNumberFormat="1" applyAlignment="1">
      <alignment horizontal="center" vertical="center" wrapText="1"/>
    </xf>
    <xf numFmtId="1" fontId="1" fillId="0" borderId="0" xfId="1" applyNumberFormat="1" applyAlignment="1">
      <alignment horizontal="center"/>
    </xf>
    <xf numFmtId="1" fontId="1" fillId="2" borderId="0" xfId="1" applyNumberFormat="1" applyFill="1"/>
    <xf numFmtId="0" fontId="9" fillId="0" borderId="0" xfId="1" applyFont="1"/>
    <xf numFmtId="1" fontId="9" fillId="0" borderId="0" xfId="1" applyNumberFormat="1" applyFont="1"/>
    <xf numFmtId="0" fontId="1" fillId="0" borderId="0" xfId="1" applyAlignment="1">
      <alignment horizontal="left" vertical="center" wrapText="1"/>
    </xf>
    <xf numFmtId="0" fontId="9" fillId="0" borderId="3" xfId="0" applyFont="1" applyBorder="1" applyAlignment="1">
      <alignment horizontal="left" vertical="center" wrapText="1"/>
    </xf>
    <xf numFmtId="0" fontId="9" fillId="0" borderId="7" xfId="0" applyFont="1" applyBorder="1" applyAlignment="1">
      <alignment horizontal="left" vertical="center" wrapText="1"/>
    </xf>
    <xf numFmtId="0" fontId="10" fillId="0" borderId="3" xfId="1" applyFont="1" applyBorder="1" applyAlignment="1">
      <alignment horizontal="left" vertical="center" wrapText="1"/>
    </xf>
    <xf numFmtId="0" fontId="9" fillId="0" borderId="3" xfId="1" applyFont="1" applyBorder="1" applyAlignment="1">
      <alignment horizontal="left" vertical="center" wrapText="1"/>
    </xf>
    <xf numFmtId="49" fontId="9" fillId="7" borderId="6" xfId="1" applyNumberFormat="1" applyFont="1" applyFill="1" applyBorder="1" applyAlignment="1">
      <alignment horizontal="center" vertical="center"/>
    </xf>
    <xf numFmtId="0" fontId="9" fillId="7" borderId="6" xfId="1" applyFont="1" applyFill="1" applyBorder="1" applyAlignment="1">
      <alignment horizontal="left" vertical="center" wrapText="1"/>
    </xf>
    <xf numFmtId="0" fontId="9" fillId="7" borderId="1" xfId="1" applyFont="1" applyFill="1" applyBorder="1" applyAlignment="1">
      <alignment horizontal="left" vertical="center" wrapText="1"/>
    </xf>
    <xf numFmtId="0" fontId="9" fillId="0" borderId="1" xfId="1" applyFont="1" applyBorder="1"/>
    <xf numFmtId="0" fontId="9" fillId="3" borderId="6" xfId="0" applyFont="1" applyFill="1" applyBorder="1" applyAlignment="1">
      <alignment horizontal="left" vertical="center" wrapText="1"/>
    </xf>
    <xf numFmtId="4" fontId="13" fillId="0" borderId="0" xfId="1" applyNumberFormat="1" applyFont="1" applyAlignment="1">
      <alignment horizontal="right" vertical="center"/>
    </xf>
    <xf numFmtId="4" fontId="9" fillId="0" borderId="0" xfId="0" applyNumberFormat="1" applyFont="1" applyBorder="1" applyAlignment="1">
      <alignment vertical="center"/>
    </xf>
    <xf numFmtId="4" fontId="9" fillId="0" borderId="0" xfId="1" applyNumberFormat="1" applyFont="1" applyAlignment="1">
      <alignment horizontal="left" vertical="center"/>
    </xf>
    <xf numFmtId="4" fontId="9" fillId="0" borderId="0" xfId="1" applyNumberFormat="1" applyFont="1" applyAlignment="1">
      <alignment vertical="center"/>
    </xf>
    <xf numFmtId="4" fontId="1" fillId="0" borderId="0" xfId="1" applyNumberFormat="1" applyAlignment="1">
      <alignment vertical="center"/>
    </xf>
    <xf numFmtId="0" fontId="9" fillId="0" borderId="0" xfId="1" applyFont="1" applyAlignment="1">
      <alignment horizontal="center" wrapText="1"/>
    </xf>
    <xf numFmtId="0" fontId="5" fillId="0" borderId="0" xfId="1" applyFont="1" applyAlignment="1">
      <alignment horizontal="center"/>
    </xf>
    <xf numFmtId="0" fontId="9" fillId="0" borderId="0" xfId="1" applyFont="1" applyAlignment="1">
      <alignment horizontal="center"/>
    </xf>
    <xf numFmtId="0" fontId="1" fillId="3" borderId="0" xfId="1" applyFill="1" applyBorder="1" applyAlignment="1">
      <alignment horizontal="center"/>
    </xf>
    <xf numFmtId="0" fontId="2" fillId="0" borderId="0" xfId="1" applyFont="1" applyAlignment="1">
      <alignment horizontal="center"/>
    </xf>
    <xf numFmtId="0" fontId="9" fillId="0" borderId="0" xfId="0" applyFont="1" applyBorder="1" applyAlignment="1">
      <alignment horizontal="center" vertical="center"/>
    </xf>
    <xf numFmtId="0" fontId="5" fillId="3" borderId="0" xfId="1" applyFont="1" applyFill="1" applyBorder="1" applyAlignment="1">
      <alignment horizontal="center" vertical="center"/>
    </xf>
    <xf numFmtId="0" fontId="0" fillId="0" borderId="0" xfId="0" applyBorder="1"/>
    <xf numFmtId="0" fontId="14" fillId="0" borderId="0" xfId="0" applyFont="1"/>
    <xf numFmtId="0" fontId="15" fillId="0" borderId="3" xfId="0" applyFont="1" applyBorder="1" applyAlignment="1">
      <alignment horizontal="center" vertical="center" wrapText="1"/>
    </xf>
    <xf numFmtId="0" fontId="0" fillId="0" borderId="1" xfId="0" applyBorder="1" applyAlignment="1">
      <alignment vertical="top" wrapText="1"/>
    </xf>
    <xf numFmtId="0" fontId="15"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4" fillId="0" borderId="0" xfId="0" applyFont="1" applyBorder="1"/>
    <xf numFmtId="0" fontId="9" fillId="3" borderId="6" xfId="0" applyFont="1" applyFill="1" applyBorder="1" applyAlignment="1">
      <alignment horizontal="left" vertical="center" wrapText="1" indent="3"/>
    </xf>
    <xf numFmtId="0" fontId="18" fillId="0" borderId="1" xfId="0" applyFont="1" applyBorder="1" applyAlignment="1">
      <alignment horizontal="center" vertical="center" wrapText="1"/>
    </xf>
    <xf numFmtId="0" fontId="18" fillId="0" borderId="1" xfId="0" applyFont="1" applyBorder="1" applyAlignment="1">
      <alignment horizontal="center" wrapText="1"/>
    </xf>
    <xf numFmtId="0" fontId="18" fillId="0" borderId="2" xfId="0" applyFont="1" applyBorder="1" applyAlignment="1">
      <alignment horizontal="center" vertical="center" wrapText="1"/>
    </xf>
    <xf numFmtId="0" fontId="18" fillId="0" borderId="2" xfId="0" applyFont="1" applyFill="1" applyBorder="1" applyAlignment="1">
      <alignment horizontal="center" vertical="center" wrapText="1"/>
    </xf>
    <xf numFmtId="0" fontId="0" fillId="0" borderId="0" xfId="0" applyFill="1" applyBorder="1"/>
    <xf numFmtId="0" fontId="18" fillId="0" borderId="1" xfId="0" applyFont="1" applyFill="1" applyBorder="1" applyAlignment="1">
      <alignment horizontal="center" vertical="center" wrapText="1"/>
    </xf>
    <xf numFmtId="0" fontId="19" fillId="0" borderId="1" xfId="1" applyFont="1" applyBorder="1" applyAlignment="1">
      <alignment horizontal="center" vertical="center"/>
    </xf>
    <xf numFmtId="0" fontId="19" fillId="0" borderId="1" xfId="0" applyFont="1" applyBorder="1" applyAlignment="1">
      <alignment horizontal="center" vertical="center"/>
    </xf>
    <xf numFmtId="49" fontId="5" fillId="0" borderId="1" xfId="1" applyNumberFormat="1" applyFont="1" applyBorder="1" applyAlignment="1">
      <alignment horizontal="center" vertical="center"/>
    </xf>
    <xf numFmtId="49" fontId="5" fillId="0" borderId="1" xfId="1" applyNumberFormat="1" applyFont="1" applyBorder="1" applyAlignment="1">
      <alignment horizontal="center"/>
    </xf>
    <xf numFmtId="0" fontId="23" fillId="0" borderId="0" xfId="0" applyFont="1"/>
    <xf numFmtId="0" fontId="21" fillId="0" borderId="0" xfId="0" applyFont="1" applyAlignment="1">
      <alignment horizontal="center"/>
    </xf>
    <xf numFmtId="0" fontId="22" fillId="0" borderId="0" xfId="0" applyFont="1" applyAlignment="1">
      <alignment horizontal="center"/>
    </xf>
    <xf numFmtId="0" fontId="3" fillId="0" borderId="0" xfId="1" applyFont="1" applyBorder="1" applyAlignment="1">
      <alignment vertical="center" wrapText="1"/>
    </xf>
    <xf numFmtId="0" fontId="9" fillId="0" borderId="0" xfId="1" applyFont="1" applyAlignment="1">
      <alignment horizontal="left" wrapText="1"/>
    </xf>
    <xf numFmtId="0" fontId="9" fillId="0" borderId="0" xfId="1" applyFont="1" applyAlignment="1">
      <alignment horizontal="left" vertical="center" wrapText="1" readingOrder="1"/>
    </xf>
    <xf numFmtId="0" fontId="15" fillId="0" borderId="1" xfId="0" applyFont="1" applyBorder="1" applyAlignment="1">
      <alignment horizontal="center" vertical="center" wrapText="1"/>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0" fontId="9" fillId="0" borderId="0" xfId="1" applyFont="1" applyAlignment="1">
      <alignment horizontal="left" vertical="center" wrapText="1" readingOrder="1"/>
    </xf>
    <xf numFmtId="0" fontId="15" fillId="0" borderId="1" xfId="0" applyFont="1" applyBorder="1" applyAlignment="1">
      <alignment horizontal="center" vertical="center" wrapText="1"/>
    </xf>
    <xf numFmtId="0" fontId="27" fillId="0" borderId="7" xfId="0" applyFont="1" applyBorder="1" applyAlignment="1">
      <alignment vertical="center" wrapText="1"/>
    </xf>
    <xf numFmtId="9" fontId="27" fillId="0" borderId="7" xfId="0" applyNumberFormat="1" applyFont="1" applyBorder="1" applyAlignment="1">
      <alignment vertical="center" wrapText="1"/>
    </xf>
    <xf numFmtId="0" fontId="28" fillId="0" borderId="0" xfId="1" applyFont="1"/>
    <xf numFmtId="1" fontId="29" fillId="0" borderId="0" xfId="1" applyNumberFormat="1" applyFont="1" applyAlignment="1">
      <alignment horizontal="right"/>
    </xf>
    <xf numFmtId="4" fontId="30" fillId="0" borderId="0" xfId="1" applyNumberFormat="1" applyFont="1" applyAlignment="1">
      <alignment horizontal="right"/>
    </xf>
    <xf numFmtId="0" fontId="9" fillId="0" borderId="0" xfId="0" applyFont="1" applyBorder="1" applyAlignment="1">
      <alignment horizontal="left" vertical="center" wrapText="1"/>
    </xf>
    <xf numFmtId="4" fontId="9" fillId="0" borderId="1" xfId="1" applyNumberFormat="1" applyFont="1" applyBorder="1" applyAlignment="1">
      <alignment vertical="center"/>
    </xf>
    <xf numFmtId="0" fontId="31" fillId="0" borderId="1" xfId="1" applyFont="1" applyBorder="1" applyAlignment="1">
      <alignment horizontal="center" vertical="center" wrapText="1"/>
    </xf>
    <xf numFmtId="0" fontId="32" fillId="0" borderId="0" xfId="1" applyFont="1" applyAlignment="1">
      <alignment horizontal="center"/>
    </xf>
    <xf numFmtId="0" fontId="32" fillId="0" borderId="0" xfId="1" applyFont="1" applyAlignment="1">
      <alignment horizontal="right"/>
    </xf>
    <xf numFmtId="9" fontId="33" fillId="0" borderId="7" xfId="0" applyNumberFormat="1" applyFont="1" applyBorder="1" applyAlignment="1">
      <alignment vertical="center" wrapText="1"/>
    </xf>
    <xf numFmtId="4" fontId="9" fillId="0" borderId="1" xfId="1" applyNumberFormat="1" applyFont="1" applyBorder="1" applyAlignment="1">
      <alignment horizontal="right" vertical="center"/>
    </xf>
    <xf numFmtId="0" fontId="34" fillId="0" borderId="0" xfId="0" applyFont="1" applyAlignment="1">
      <alignment horizontal="center"/>
    </xf>
    <xf numFmtId="0" fontId="9" fillId="3" borderId="0" xfId="1" applyFont="1" applyFill="1" applyBorder="1" applyAlignment="1">
      <alignment horizontal="center" vertical="center"/>
    </xf>
    <xf numFmtId="4" fontId="9" fillId="3" borderId="0" xfId="1" applyNumberFormat="1" applyFont="1" applyFill="1" applyBorder="1" applyAlignment="1">
      <alignment vertical="center"/>
    </xf>
    <xf numFmtId="4" fontId="9" fillId="2" borderId="0" xfId="1" applyNumberFormat="1" applyFont="1" applyFill="1" applyBorder="1" applyAlignment="1">
      <alignment horizontal="right" vertical="center"/>
    </xf>
    <xf numFmtId="0" fontId="9" fillId="2" borderId="0" xfId="1" applyFont="1" applyFill="1" applyBorder="1" applyAlignment="1">
      <alignment horizontal="center" vertical="center"/>
    </xf>
    <xf numFmtId="0" fontId="9" fillId="3" borderId="0" xfId="1" applyFont="1" applyFill="1" applyBorder="1" applyAlignment="1">
      <alignment horizontal="center"/>
    </xf>
    <xf numFmtId="4" fontId="9" fillId="0" borderId="4" xfId="1" applyNumberFormat="1" applyFont="1" applyBorder="1" applyAlignment="1">
      <alignment vertical="center"/>
    </xf>
    <xf numFmtId="4" fontId="9" fillId="0" borderId="5" xfId="1" applyNumberFormat="1" applyFont="1" applyBorder="1" applyAlignment="1">
      <alignment vertical="center"/>
    </xf>
    <xf numFmtId="4" fontId="9" fillId="7" borderId="1" xfId="1" applyNumberFormat="1" applyFont="1" applyFill="1" applyBorder="1" applyAlignment="1">
      <alignment vertical="center"/>
    </xf>
    <xf numFmtId="0" fontId="15" fillId="0" borderId="1" xfId="0" applyFont="1" applyBorder="1" applyAlignment="1">
      <alignment horizontal="center" vertical="center" wrapText="1"/>
    </xf>
    <xf numFmtId="0" fontId="9" fillId="3" borderId="8" xfId="0" applyFont="1" applyFill="1" applyBorder="1" applyAlignment="1">
      <alignment horizontal="left" vertical="center" wrapText="1"/>
    </xf>
    <xf numFmtId="0" fontId="18" fillId="0" borderId="5" xfId="0" applyFont="1" applyBorder="1" applyAlignment="1">
      <alignment horizontal="center" vertical="center" wrapText="1"/>
    </xf>
    <xf numFmtId="4" fontId="9" fillId="0" borderId="5" xfId="1" applyNumberFormat="1" applyFont="1" applyBorder="1" applyAlignment="1">
      <alignment horizontal="right" vertical="center"/>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1" applyFont="1" applyAlignment="1">
      <alignment horizontal="left" vertical="center" wrapText="1" readingOrder="1"/>
    </xf>
    <xf numFmtId="0" fontId="15" fillId="0" borderId="1" xfId="0" applyFont="1" applyBorder="1" applyAlignment="1">
      <alignment horizontal="center" vertical="center" wrapText="1"/>
    </xf>
    <xf numFmtId="0" fontId="15" fillId="0" borderId="5" xfId="0" applyFont="1" applyBorder="1" applyAlignment="1">
      <alignment horizontal="center" vertical="center" wrapText="1"/>
    </xf>
    <xf numFmtId="49" fontId="9" fillId="0" borderId="8" xfId="0" applyNumberFormat="1" applyFont="1" applyBorder="1" applyAlignment="1">
      <alignment horizontal="center" vertical="center"/>
    </xf>
    <xf numFmtId="49" fontId="9" fillId="0" borderId="6" xfId="0" applyNumberFormat="1" applyFont="1" applyBorder="1" applyAlignment="1">
      <alignment horizontal="center" vertical="center"/>
    </xf>
    <xf numFmtId="0" fontId="9" fillId="3" borderId="1" xfId="0" applyFont="1" applyFill="1" applyBorder="1" applyAlignment="1">
      <alignment horizontal="left" vertical="center" wrapText="1"/>
    </xf>
    <xf numFmtId="0" fontId="0" fillId="14" borderId="0" xfId="0" applyFill="1" applyBorder="1"/>
    <xf numFmtId="0" fontId="15" fillId="0" borderId="1" xfId="0" applyFont="1" applyBorder="1" applyAlignment="1">
      <alignment horizontal="center" vertical="center" wrapText="1"/>
    </xf>
    <xf numFmtId="49" fontId="9" fillId="0" borderId="6" xfId="0" applyNumberFormat="1" applyFont="1" applyBorder="1" applyAlignment="1">
      <alignment horizontal="center" vertical="center"/>
    </xf>
    <xf numFmtId="0" fontId="15" fillId="0" borderId="1" xfId="0" applyFont="1" applyBorder="1" applyAlignment="1">
      <alignment horizontal="center" vertical="center" wrapText="1"/>
    </xf>
    <xf numFmtId="0" fontId="35" fillId="0" borderId="1" xfId="0" applyFont="1" applyBorder="1" applyAlignment="1">
      <alignment horizontal="left" vertical="center" wrapText="1" indent="4"/>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1" fontId="38" fillId="0" borderId="0" xfId="1" applyNumberFormat="1" applyFont="1" applyAlignment="1"/>
    <xf numFmtId="1" fontId="38" fillId="0" borderId="0" xfId="1" applyNumberFormat="1" applyFont="1" applyFill="1"/>
    <xf numFmtId="2" fontId="30" fillId="0" borderId="0" xfId="1" applyNumberFormat="1" applyFont="1" applyFill="1" applyAlignment="1">
      <alignment horizontal="right"/>
    </xf>
    <xf numFmtId="0" fontId="38" fillId="0" borderId="0" xfId="1" applyFont="1" applyFill="1"/>
    <xf numFmtId="1" fontId="2" fillId="0" borderId="0" xfId="1" applyNumberFormat="1" applyFont="1" applyFill="1" applyAlignment="1">
      <alignment horizontal="right"/>
    </xf>
    <xf numFmtId="0" fontId="2" fillId="0" borderId="0" xfId="1" applyFont="1" applyFill="1" applyAlignment="1">
      <alignment horizontal="right"/>
    </xf>
    <xf numFmtId="2" fontId="39" fillId="0" borderId="0" xfId="1" applyNumberFormat="1" applyFont="1" applyFill="1" applyAlignment="1">
      <alignment horizontal="right"/>
    </xf>
    <xf numFmtId="0" fontId="40" fillId="0" borderId="0" xfId="1" applyFont="1" applyFill="1" applyBorder="1" applyAlignment="1">
      <alignment vertical="center" wrapText="1"/>
    </xf>
    <xf numFmtId="0" fontId="40" fillId="0" borderId="0" xfId="1" applyFont="1" applyFill="1"/>
    <xf numFmtId="1" fontId="4" fillId="0" borderId="0" xfId="1" applyNumberFormat="1" applyFont="1" applyFill="1" applyAlignment="1">
      <alignment horizontal="right"/>
    </xf>
    <xf numFmtId="0" fontId="41" fillId="0" borderId="0" xfId="0" applyFont="1" applyFill="1"/>
    <xf numFmtId="0" fontId="38" fillId="0" borderId="0" xfId="1" applyFont="1" applyFill="1" applyAlignment="1">
      <alignment horizontal="center"/>
    </xf>
    <xf numFmtId="1" fontId="38" fillId="0" borderId="0" xfId="1" applyNumberFormat="1" applyFont="1" applyFill="1" applyAlignment="1">
      <alignment horizontal="center"/>
    </xf>
    <xf numFmtId="0" fontId="1" fillId="0" borderId="0" xfId="1" applyAlignment="1">
      <alignment vertical="center"/>
    </xf>
    <xf numFmtId="0" fontId="3" fillId="0" borderId="0" xfId="1" applyFont="1" applyAlignment="1">
      <alignment vertical="center"/>
    </xf>
    <xf numFmtId="0" fontId="28" fillId="0" borderId="0" xfId="1" applyFont="1" applyAlignment="1">
      <alignment vertical="center"/>
    </xf>
    <xf numFmtId="9" fontId="1" fillId="0" borderId="0" xfId="1" applyNumberFormat="1" applyAlignment="1">
      <alignment vertical="center"/>
    </xf>
    <xf numFmtId="164" fontId="1" fillId="0" borderId="0" xfId="1" applyNumberFormat="1" applyAlignment="1">
      <alignment vertical="center"/>
    </xf>
    <xf numFmtId="0" fontId="23" fillId="0" borderId="0" xfId="0" applyFont="1" applyAlignment="1">
      <alignment vertical="center"/>
    </xf>
    <xf numFmtId="0" fontId="9" fillId="0" borderId="0" xfId="1" applyFont="1" applyAlignment="1">
      <alignment vertical="center"/>
    </xf>
    <xf numFmtId="0" fontId="1" fillId="2" borderId="0" xfId="1" applyFill="1" applyAlignment="1">
      <alignmen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0" fillId="3" borderId="6" xfId="0" applyFont="1" applyFill="1" applyBorder="1" applyAlignment="1">
      <alignment horizontal="left" vertical="center" wrapText="1"/>
    </xf>
    <xf numFmtId="4" fontId="0" fillId="0" borderId="0" xfId="0" applyNumberFormat="1"/>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49" fontId="9" fillId="0" borderId="6" xfId="0" applyNumberFormat="1"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 fillId="0" borderId="0" xfId="1" applyAlignment="1">
      <alignment horizontal="center" vertical="center" wrapText="1"/>
    </xf>
    <xf numFmtId="0" fontId="15" fillId="0" borderId="1" xfId="0" applyFont="1" applyBorder="1" applyAlignment="1">
      <alignment horizontal="center" vertical="center" wrapText="1"/>
    </xf>
    <xf numFmtId="1" fontId="45" fillId="7" borderId="14" xfId="0" applyNumberFormat="1" applyFont="1" applyFill="1" applyBorder="1" applyAlignment="1">
      <alignment horizontal="center" vertical="center" wrapText="1"/>
    </xf>
    <xf numFmtId="0" fontId="0" fillId="0" borderId="0" xfId="0" applyAlignment="1">
      <alignment vertical="center"/>
    </xf>
    <xf numFmtId="0" fontId="14" fillId="0" borderId="0" xfId="0" applyFont="1" applyAlignment="1">
      <alignment vertical="center"/>
    </xf>
    <xf numFmtId="0" fontId="0" fillId="0" borderId="0" xfId="0" applyBorder="1" applyAlignment="1">
      <alignment vertical="center"/>
    </xf>
    <xf numFmtId="4" fontId="0" fillId="0" borderId="0" xfId="0" applyNumberFormat="1" applyAlignment="1">
      <alignment vertical="center"/>
    </xf>
    <xf numFmtId="0" fontId="1" fillId="0" borderId="0" xfId="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9" fillId="0" borderId="0" xfId="0" applyFont="1" applyBorder="1" applyAlignment="1">
      <alignment horizontal="left" vertical="center" wrapText="1"/>
    </xf>
    <xf numFmtId="0" fontId="1" fillId="0" borderId="0" xfId="1" applyAlignment="1">
      <alignment horizontal="center" vertical="center" wrapText="1"/>
    </xf>
    <xf numFmtId="49" fontId="9" fillId="0" borderId="6" xfId="0" applyNumberFormat="1" applyFont="1" applyBorder="1" applyAlignment="1">
      <alignment horizontal="center" vertical="center"/>
    </xf>
    <xf numFmtId="0" fontId="1" fillId="0" borderId="0" xfId="1" applyAlignment="1">
      <alignment horizontal="center" vertical="center" wrapText="1"/>
    </xf>
    <xf numFmtId="49" fontId="9" fillId="0" borderId="6" xfId="0" applyNumberFormat="1" applyFont="1" applyBorder="1" applyAlignment="1">
      <alignment horizontal="center" vertical="center"/>
    </xf>
    <xf numFmtId="165" fontId="1" fillId="0" borderId="0" xfId="1" applyNumberFormat="1" applyAlignment="1">
      <alignmen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49" fontId="19" fillId="0" borderId="1" xfId="0" applyNumberFormat="1" applyFont="1" applyBorder="1" applyAlignment="1">
      <alignment horizontal="center" vertical="center"/>
    </xf>
    <xf numFmtId="49" fontId="49" fillId="0" borderId="1" xfId="0" applyNumberFormat="1" applyFont="1" applyBorder="1" applyAlignment="1">
      <alignment horizontal="center" vertical="center"/>
    </xf>
    <xf numFmtId="49" fontId="46" fillId="0" borderId="6" xfId="0" applyNumberFormat="1" applyFont="1" applyBorder="1" applyAlignment="1">
      <alignment horizontal="center" vertical="center"/>
    </xf>
    <xf numFmtId="3" fontId="52" fillId="0" borderId="1" xfId="2" applyNumberFormat="1" applyFont="1" applyFill="1" applyBorder="1" applyAlignment="1">
      <alignment horizontal="center" vertical="center"/>
    </xf>
    <xf numFmtId="14" fontId="51" fillId="0" borderId="0" xfId="1" applyNumberFormat="1" applyFont="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9" fillId="0" borderId="0"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4" fontId="1" fillId="0" borderId="0" xfId="1" applyNumberFormat="1" applyFill="1" applyAlignment="1">
      <alignment vertical="center"/>
    </xf>
    <xf numFmtId="164" fontId="1" fillId="0" borderId="0" xfId="1" applyNumberFormat="1" applyFill="1" applyAlignment="1">
      <alignment vertical="center"/>
    </xf>
    <xf numFmtId="0" fontId="0" fillId="0" borderId="0" xfId="0" applyFill="1" applyBorder="1" applyAlignment="1">
      <alignment vertical="center"/>
    </xf>
    <xf numFmtId="0" fontId="15" fillId="0" borderId="1" xfId="0" applyFont="1" applyBorder="1" applyAlignment="1">
      <alignment horizontal="center" vertical="center" wrapText="1"/>
    </xf>
    <xf numFmtId="49" fontId="9" fillId="7" borderId="1" xfId="1"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49" fontId="53" fillId="0" borderId="1" xfId="0" applyNumberFormat="1" applyFont="1" applyBorder="1" applyAlignment="1">
      <alignment horizontal="center" vertical="center"/>
    </xf>
    <xf numFmtId="0" fontId="48" fillId="3" borderId="6" xfId="0" applyFont="1" applyFill="1" applyBorder="1" applyAlignment="1">
      <alignment horizontal="left" vertical="center" wrapText="1"/>
    </xf>
    <xf numFmtId="0" fontId="53" fillId="0" borderId="1" xfId="0" applyFont="1" applyBorder="1" applyAlignment="1">
      <alignment horizontal="center" vertical="center" wrapText="1"/>
    </xf>
    <xf numFmtId="4" fontId="48" fillId="0" borderId="1" xfId="1" applyNumberFormat="1" applyFont="1" applyBorder="1" applyAlignment="1">
      <alignment vertical="center"/>
    </xf>
    <xf numFmtId="49" fontId="53" fillId="0" borderId="5" xfId="0" applyNumberFormat="1" applyFont="1" applyBorder="1" applyAlignment="1">
      <alignment horizontal="center" vertical="center"/>
    </xf>
    <xf numFmtId="0" fontId="53" fillId="0" borderId="5" xfId="0" applyFont="1" applyBorder="1" applyAlignment="1">
      <alignment horizontal="center" vertical="center" wrapText="1"/>
    </xf>
    <xf numFmtId="4" fontId="48" fillId="0" borderId="5" xfId="1" applyNumberFormat="1" applyFont="1" applyBorder="1" applyAlignment="1">
      <alignment vertical="center"/>
    </xf>
    <xf numFmtId="4" fontId="9" fillId="0" borderId="6" xfId="1" applyNumberFormat="1" applyFont="1" applyBorder="1" applyAlignment="1">
      <alignment vertical="center"/>
    </xf>
    <xf numFmtId="0" fontId="9" fillId="3" borderId="5" xfId="0" applyFont="1" applyFill="1" applyBorder="1" applyAlignment="1">
      <alignment horizontal="left" vertical="center" wrapText="1"/>
    </xf>
    <xf numFmtId="0" fontId="53" fillId="0" borderId="1" xfId="0" applyFont="1" applyFill="1" applyBorder="1" applyAlignment="1">
      <alignment horizontal="center" vertical="center" wrapText="1"/>
    </xf>
    <xf numFmtId="0" fontId="48" fillId="3" borderId="1" xfId="0" applyFont="1" applyFill="1" applyBorder="1" applyAlignment="1">
      <alignment horizontal="left" vertical="center" wrapText="1"/>
    </xf>
    <xf numFmtId="49" fontId="48" fillId="0" borderId="6" xfId="0" applyNumberFormat="1" applyFont="1" applyBorder="1" applyAlignment="1">
      <alignment horizontal="center" vertical="center"/>
    </xf>
    <xf numFmtId="0" fontId="48" fillId="3" borderId="6" xfId="0" applyFont="1" applyFill="1" applyBorder="1" applyAlignment="1">
      <alignment horizontal="left" vertical="center"/>
    </xf>
    <xf numFmtId="49" fontId="10" fillId="0" borderId="6" xfId="0" applyNumberFormat="1" applyFont="1" applyBorder="1" applyAlignment="1">
      <alignment horizontal="center" vertical="center"/>
    </xf>
    <xf numFmtId="0" fontId="10" fillId="3" borderId="6" xfId="0" applyFont="1" applyFill="1" applyBorder="1" applyAlignment="1">
      <alignment horizontal="left" vertical="center"/>
    </xf>
    <xf numFmtId="0" fontId="37" fillId="0" borderId="1" xfId="0" applyFont="1" applyBorder="1" applyAlignment="1">
      <alignment horizontal="center" vertical="center" wrapText="1"/>
    </xf>
    <xf numFmtId="4" fontId="10" fillId="0" borderId="1" xfId="1" applyNumberFormat="1" applyFont="1" applyBorder="1" applyAlignment="1">
      <alignment vertical="center"/>
    </xf>
    <xf numFmtId="49" fontId="10" fillId="0" borderId="1" xfId="0" applyNumberFormat="1" applyFont="1" applyBorder="1" applyAlignment="1">
      <alignment horizontal="center" vertical="center"/>
    </xf>
    <xf numFmtId="0" fontId="37" fillId="0" borderId="1" xfId="0" applyFont="1" applyBorder="1" applyAlignment="1">
      <alignment horizontal="right" vertical="center" wrapText="1"/>
    </xf>
    <xf numFmtId="4" fontId="10" fillId="0" borderId="1" xfId="1" applyNumberFormat="1" applyFont="1" applyBorder="1" applyAlignment="1">
      <alignment horizontal="right" vertical="center"/>
    </xf>
    <xf numFmtId="0" fontId="10" fillId="3" borderId="1" xfId="0" applyFont="1" applyFill="1" applyBorder="1" applyAlignment="1">
      <alignment horizontal="left" vertical="center" wrapText="1"/>
    </xf>
    <xf numFmtId="4" fontId="10" fillId="0" borderId="5" xfId="1" applyNumberFormat="1" applyFont="1" applyBorder="1" applyAlignment="1">
      <alignment horizontal="right" vertical="center"/>
    </xf>
    <xf numFmtId="0" fontId="37" fillId="0" borderId="5" xfId="0" applyFont="1" applyBorder="1" applyAlignment="1">
      <alignment horizontal="center" vertical="center" wrapText="1"/>
    </xf>
    <xf numFmtId="0" fontId="10" fillId="3" borderId="5" xfId="0" applyFont="1" applyFill="1" applyBorder="1" applyAlignment="1">
      <alignment horizontal="left" vertical="center" wrapText="1"/>
    </xf>
    <xf numFmtId="0" fontId="38" fillId="0" borderId="1" xfId="1" applyFont="1" applyBorder="1"/>
    <xf numFmtId="0" fontId="37" fillId="0" borderId="1" xfId="0" applyFont="1" applyFill="1" applyBorder="1" applyAlignment="1">
      <alignment horizontal="center" vertical="center" wrapText="1"/>
    </xf>
    <xf numFmtId="49" fontId="10" fillId="3" borderId="1" xfId="0" applyNumberFormat="1" applyFont="1" applyFill="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37" fillId="0" borderId="1" xfId="0" applyFont="1" applyBorder="1"/>
    <xf numFmtId="0" fontId="54" fillId="3" borderId="6" xfId="0" applyFont="1" applyFill="1" applyBorder="1" applyAlignment="1">
      <alignment horizontal="left" vertical="center" wrapText="1"/>
    </xf>
    <xf numFmtId="0" fontId="55" fillId="0" borderId="1" xfId="0" applyFont="1" applyBorder="1" applyAlignment="1">
      <alignment horizontal="center" vertical="center" wrapText="1"/>
    </xf>
    <xf numFmtId="4" fontId="54" fillId="0" borderId="1" xfId="1" applyNumberFormat="1" applyFont="1" applyBorder="1" applyAlignment="1">
      <alignment vertical="center"/>
    </xf>
    <xf numFmtId="49" fontId="9" fillId="0" borderId="2" xfId="1" applyNumberFormat="1" applyFont="1" applyBorder="1" applyAlignment="1">
      <alignment horizontal="center" vertical="center"/>
    </xf>
    <xf numFmtId="49" fontId="9" fillId="0" borderId="2" xfId="0" applyNumberFormat="1" applyFont="1" applyBorder="1" applyAlignment="1">
      <alignment horizontal="center" vertical="center"/>
    </xf>
    <xf numFmtId="1" fontId="45" fillId="7" borderId="0" xfId="0" applyNumberFormat="1" applyFont="1" applyFill="1" applyBorder="1" applyAlignment="1">
      <alignment horizontal="center" vertical="center" wrapText="1"/>
    </xf>
    <xf numFmtId="0" fontId="10" fillId="3"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4" fontId="9" fillId="0" borderId="0" xfId="1" applyNumberFormat="1" applyFont="1" applyBorder="1" applyAlignment="1">
      <alignment horizontal="right" vertical="center"/>
    </xf>
    <xf numFmtId="0" fontId="15" fillId="0" borderId="1" xfId="0" applyFont="1" applyBorder="1" applyAlignment="1">
      <alignment horizontal="center" vertical="center" wrapText="1"/>
    </xf>
    <xf numFmtId="49" fontId="54"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0" fontId="26" fillId="0" borderId="0" xfId="1" applyFont="1" applyAlignment="1">
      <alignment horizontal="left" wrapText="1"/>
    </xf>
    <xf numFmtId="0" fontId="9" fillId="0" borderId="0" xfId="1" applyFont="1" applyBorder="1" applyAlignment="1">
      <alignment horizontal="left" wrapText="1"/>
    </xf>
    <xf numFmtId="0" fontId="9" fillId="0" borderId="0" xfId="0" applyFont="1" applyBorder="1" applyAlignment="1">
      <alignment horizontal="left" vertical="center" wrapText="1"/>
    </xf>
    <xf numFmtId="0" fontId="0" fillId="0" borderId="0" xfId="0" applyBorder="1" applyAlignment="1"/>
    <xf numFmtId="0" fontId="20" fillId="0" borderId="0" xfId="1" applyFont="1" applyBorder="1" applyAlignment="1">
      <alignment horizontal="center" vertical="center" wrapText="1"/>
    </xf>
    <xf numFmtId="0" fontId="9" fillId="0" borderId="0" xfId="1" applyFont="1" applyBorder="1" applyAlignment="1">
      <alignment horizontal="left" vertical="center" wrapText="1"/>
    </xf>
    <xf numFmtId="0" fontId="9" fillId="0" borderId="0" xfId="1" applyFont="1" applyAlignment="1">
      <alignment horizontal="left" vertical="center" wrapText="1" readingOrder="1"/>
    </xf>
    <xf numFmtId="0" fontId="0" fillId="0" borderId="0" xfId="0" applyAlignment="1">
      <alignment horizontal="right"/>
    </xf>
    <xf numFmtId="0" fontId="25" fillId="0" borderId="0" xfId="1" applyFont="1" applyBorder="1" applyAlignment="1">
      <alignment horizontal="center" vertical="center" wrapText="1"/>
    </xf>
    <xf numFmtId="0" fontId="24" fillId="0" borderId="0" xfId="1" applyFont="1" applyBorder="1" applyAlignment="1">
      <alignment horizontal="center" vertical="center" wrapText="1"/>
    </xf>
    <xf numFmtId="0" fontId="0" fillId="0" borderId="0" xfId="0" applyAlignment="1">
      <alignment horizontal="right"/>
    </xf>
    <xf numFmtId="0" fontId="25" fillId="0" borderId="0" xfId="1" applyFont="1" applyBorder="1" applyAlignment="1">
      <alignment horizontal="center" vertical="center" wrapText="1"/>
    </xf>
    <xf numFmtId="0" fontId="24" fillId="0" borderId="0" xfId="1" applyFont="1" applyBorder="1" applyAlignment="1">
      <alignment horizontal="center" vertical="center" wrapText="1"/>
    </xf>
    <xf numFmtId="0" fontId="5" fillId="5" borderId="0" xfId="1" applyFont="1" applyFill="1" applyBorder="1" applyAlignment="1">
      <alignment horizontal="center" vertical="center"/>
    </xf>
    <xf numFmtId="0" fontId="5" fillId="4" borderId="0" xfId="1" applyFont="1" applyFill="1" applyBorder="1" applyAlignment="1">
      <alignment horizontal="center" vertical="center"/>
    </xf>
    <xf numFmtId="49" fontId="5" fillId="6" borderId="0" xfId="1" applyNumberFormat="1" applyFont="1" applyFill="1" applyBorder="1" applyAlignment="1">
      <alignment horizontal="center" vertical="center"/>
    </xf>
    <xf numFmtId="0" fontId="26" fillId="0" borderId="0" xfId="1" applyFont="1" applyAlignment="1">
      <alignment horizontal="left" wrapText="1"/>
    </xf>
    <xf numFmtId="0" fontId="9" fillId="0" borderId="0" xfId="1" applyFont="1" applyBorder="1" applyAlignment="1">
      <alignment horizontal="left" wrapText="1"/>
    </xf>
    <xf numFmtId="0" fontId="20" fillId="0" borderId="0" xfId="1" applyFont="1" applyBorder="1" applyAlignment="1">
      <alignment horizontal="center" vertical="center" wrapText="1"/>
    </xf>
    <xf numFmtId="0" fontId="9" fillId="0" borderId="0" xfId="1" applyFont="1" applyBorder="1" applyAlignment="1">
      <alignment horizontal="left" vertical="center" wrapText="1"/>
    </xf>
    <xf numFmtId="0" fontId="9" fillId="0" borderId="0" xfId="1" applyFont="1" applyAlignment="1">
      <alignment horizontal="left" vertical="center" wrapText="1" readingOrder="1"/>
    </xf>
    <xf numFmtId="0" fontId="15" fillId="0" borderId="1" xfId="0" applyFont="1" applyBorder="1" applyAlignment="1">
      <alignment horizontal="center" vertical="center" wrapText="1"/>
    </xf>
    <xf numFmtId="0" fontId="14" fillId="0" borderId="0" xfId="0" applyFont="1" applyBorder="1" applyAlignment="1">
      <alignment horizontal="center" vertical="center" wrapText="1"/>
    </xf>
    <xf numFmtId="4" fontId="5" fillId="0" borderId="0" xfId="1" applyNumberFormat="1" applyFont="1" applyBorder="1" applyAlignment="1">
      <alignment horizontal="center" vertical="center" wrapText="1"/>
    </xf>
    <xf numFmtId="0" fontId="20" fillId="13" borderId="0" xfId="1" applyFont="1" applyFill="1" applyBorder="1" applyAlignment="1">
      <alignment horizontal="center" vertical="center" wrapText="1"/>
    </xf>
    <xf numFmtId="0" fontId="8" fillId="9" borderId="0" xfId="1" applyFont="1" applyFill="1" applyBorder="1" applyAlignment="1">
      <alignment horizontal="center" vertical="center"/>
    </xf>
    <xf numFmtId="4" fontId="9" fillId="0" borderId="0" xfId="1" applyNumberFormat="1" applyFont="1" applyBorder="1" applyAlignment="1">
      <alignment vertical="center"/>
    </xf>
    <xf numFmtId="0" fontId="5" fillId="8" borderId="0" xfId="1" applyFont="1" applyFill="1" applyBorder="1" applyAlignment="1">
      <alignment horizontal="center"/>
    </xf>
    <xf numFmtId="0" fontId="5" fillId="9" borderId="0" xfId="1" applyFont="1" applyFill="1" applyBorder="1" applyAlignment="1">
      <alignment horizontal="center" vertical="center"/>
    </xf>
    <xf numFmtId="0" fontId="5" fillId="8" borderId="0" xfId="0" applyFont="1" applyFill="1" applyBorder="1" applyAlignment="1">
      <alignment horizontal="center" vertical="center"/>
    </xf>
    <xf numFmtId="49" fontId="6" fillId="10" borderId="0" xfId="0" applyNumberFormat="1" applyFont="1" applyFill="1" applyBorder="1" applyAlignment="1">
      <alignment horizontal="center" vertical="center"/>
    </xf>
    <xf numFmtId="0" fontId="6" fillId="10" borderId="0" xfId="0" applyFont="1" applyFill="1" applyBorder="1" applyAlignment="1">
      <alignment horizontal="center" vertical="center"/>
    </xf>
    <xf numFmtId="0" fontId="5" fillId="8" borderId="0" xfId="0" applyFont="1" applyFill="1" applyBorder="1" applyAlignment="1">
      <alignment horizontal="center" vertical="center" wrapText="1"/>
    </xf>
    <xf numFmtId="49" fontId="5" fillId="8" borderId="0" xfId="0" applyNumberFormat="1" applyFont="1" applyFill="1" applyBorder="1" applyAlignment="1">
      <alignment horizontal="center" vertical="center"/>
    </xf>
    <xf numFmtId="4" fontId="48" fillId="0" borderId="0" xfId="1" applyNumberFormat="1" applyFont="1" applyBorder="1" applyAlignment="1">
      <alignment vertical="center"/>
    </xf>
    <xf numFmtId="0" fontId="56" fillId="0" borderId="0" xfId="1" applyFont="1" applyAlignment="1">
      <alignment horizontal="right"/>
    </xf>
    <xf numFmtId="0" fontId="44" fillId="0" borderId="0" xfId="0" applyFont="1" applyBorder="1" applyAlignment="1">
      <alignment horizontal="center" vertical="center" wrapText="1"/>
    </xf>
    <xf numFmtId="0" fontId="5" fillId="16" borderId="0" xfId="0" applyFont="1" applyFill="1" applyBorder="1" applyAlignment="1">
      <alignment horizontal="center" vertical="center"/>
    </xf>
    <xf numFmtId="0" fontId="5" fillId="15" borderId="0" xfId="0" applyFont="1" applyFill="1" applyBorder="1" applyAlignment="1">
      <alignment horizontal="center" vertical="center"/>
    </xf>
    <xf numFmtId="0" fontId="46" fillId="8" borderId="0" xfId="0" applyFont="1" applyFill="1" applyBorder="1" applyAlignment="1">
      <alignment horizontal="center" vertical="center" wrapText="1"/>
    </xf>
    <xf numFmtId="49" fontId="9" fillId="0" borderId="0" xfId="0" applyNumberFormat="1" applyFont="1" applyBorder="1" applyAlignment="1">
      <alignment horizontal="center" vertical="center" wrapText="1"/>
    </xf>
    <xf numFmtId="0" fontId="1" fillId="0" borderId="0" xfId="1" applyFill="1" applyAlignment="1">
      <alignment horizontal="center"/>
    </xf>
    <xf numFmtId="0" fontId="1" fillId="0" borderId="0" xfId="1" applyFill="1"/>
    <xf numFmtId="4" fontId="9" fillId="0" borderId="0" xfId="1" applyNumberFormat="1" applyFont="1" applyFill="1" applyAlignment="1">
      <alignment vertical="center"/>
    </xf>
    <xf numFmtId="49" fontId="5" fillId="0" borderId="0" xfId="1" applyNumberFormat="1" applyFont="1" applyFill="1" applyBorder="1" applyAlignment="1">
      <alignment horizontal="center" vertical="center"/>
    </xf>
    <xf numFmtId="0" fontId="5" fillId="0" borderId="0" xfId="1" applyFont="1" applyFill="1" applyBorder="1" applyAlignment="1">
      <alignment horizontal="left" vertical="center" wrapText="1"/>
    </xf>
    <xf numFmtId="0" fontId="5" fillId="0" borderId="0" xfId="1" applyFont="1" applyFill="1" applyBorder="1" applyAlignment="1">
      <alignment horizontal="center" vertical="center"/>
    </xf>
    <xf numFmtId="4" fontId="9" fillId="0" borderId="0" xfId="1" applyNumberFormat="1" applyFont="1" applyFill="1" applyBorder="1" applyAlignment="1">
      <alignment vertical="center"/>
    </xf>
    <xf numFmtId="0" fontId="5" fillId="0" borderId="0" xfId="1" applyFont="1" applyFill="1" applyBorder="1" applyAlignment="1">
      <alignment horizontal="left" vertical="center"/>
    </xf>
    <xf numFmtId="4" fontId="9" fillId="0" borderId="0" xfId="1" applyNumberFormat="1" applyFont="1" applyFill="1" applyBorder="1" applyAlignment="1">
      <alignment horizontal="right" vertical="center"/>
    </xf>
    <xf numFmtId="0" fontId="1" fillId="0" borderId="0" xfId="1" applyFill="1" applyBorder="1" applyAlignment="1">
      <alignment horizontal="center"/>
    </xf>
    <xf numFmtId="0" fontId="1" fillId="0" borderId="0" xfId="1" applyFill="1" applyBorder="1"/>
    <xf numFmtId="9" fontId="0" fillId="0" borderId="0" xfId="0" applyNumberFormat="1"/>
    <xf numFmtId="2" fontId="9" fillId="0" borderId="0" xfId="1" applyNumberFormat="1" applyFont="1" applyBorder="1" applyAlignment="1">
      <alignment vertical="center"/>
    </xf>
    <xf numFmtId="0" fontId="15"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 xfId="0" applyFont="1" applyBorder="1" applyAlignment="1">
      <alignment horizontal="center" vertical="center" wrapText="1"/>
    </xf>
    <xf numFmtId="49" fontId="9" fillId="3" borderId="5" xfId="0" applyNumberFormat="1" applyFont="1" applyFill="1" applyBorder="1" applyAlignment="1">
      <alignment horizontal="left" vertical="center" wrapText="1"/>
    </xf>
    <xf numFmtId="49" fontId="9" fillId="3" borderId="6" xfId="0" applyNumberFormat="1" applyFont="1" applyFill="1" applyBorder="1" applyAlignment="1">
      <alignment horizontal="left" vertical="center" wrapText="1"/>
    </xf>
    <xf numFmtId="49" fontId="1" fillId="0" borderId="1" xfId="0" applyNumberFormat="1" applyFont="1" applyBorder="1" applyAlignment="1">
      <alignment horizontal="center" vertical="center"/>
    </xf>
    <xf numFmtId="0" fontId="15" fillId="0" borderId="5" xfId="0" applyFont="1" applyBorder="1" applyAlignment="1">
      <alignment horizontal="center" vertical="center" wrapText="1"/>
    </xf>
    <xf numFmtId="0" fontId="1" fillId="0" borderId="0" xfId="1" applyAlignment="1">
      <alignment horizontal="center" wrapText="1"/>
    </xf>
    <xf numFmtId="0" fontId="13" fillId="0" borderId="0" xfId="1" applyFont="1" applyAlignment="1">
      <alignment horizontal="right" wrapText="1"/>
    </xf>
    <xf numFmtId="0" fontId="2" fillId="0" borderId="0" xfId="1" applyFont="1" applyAlignment="1">
      <alignment horizontal="center" wrapText="1"/>
    </xf>
    <xf numFmtId="4" fontId="13" fillId="0" borderId="0" xfId="1" applyNumberFormat="1" applyFont="1" applyAlignment="1">
      <alignment horizontal="right" vertical="center" wrapText="1"/>
    </xf>
    <xf numFmtId="0" fontId="1" fillId="0" borderId="0" xfId="1" applyAlignment="1">
      <alignment wrapText="1"/>
    </xf>
    <xf numFmtId="0" fontId="11" fillId="0" borderId="0" xfId="1" applyFont="1" applyAlignment="1">
      <alignment horizontal="right" wrapText="1"/>
    </xf>
    <xf numFmtId="0" fontId="2" fillId="0" borderId="0" xfId="1" applyFont="1" applyAlignment="1">
      <alignment horizontal="right" wrapText="1"/>
    </xf>
    <xf numFmtId="4" fontId="30" fillId="0" borderId="0" xfId="1" applyNumberFormat="1" applyFont="1" applyAlignment="1">
      <alignment horizontal="right" wrapText="1"/>
    </xf>
    <xf numFmtId="0" fontId="49" fillId="0" borderId="1" xfId="1" applyFont="1" applyBorder="1" applyAlignment="1">
      <alignment horizontal="center" vertical="center" wrapText="1"/>
    </xf>
    <xf numFmtId="4" fontId="49" fillId="0" borderId="1" xfId="1" applyNumberFormat="1" applyFont="1" applyBorder="1" applyAlignment="1">
      <alignment horizontal="center" vertical="center" wrapText="1"/>
    </xf>
    <xf numFmtId="49" fontId="49" fillId="0" borderId="6" xfId="0" applyNumberFormat="1" applyFont="1" applyFill="1" applyBorder="1" applyAlignment="1">
      <alignment horizontal="center" vertical="center"/>
    </xf>
    <xf numFmtId="0" fontId="49" fillId="0" borderId="6" xfId="0" applyFont="1" applyFill="1" applyBorder="1" applyAlignment="1">
      <alignment horizontal="left" vertical="center" wrapText="1"/>
    </xf>
    <xf numFmtId="4" fontId="49" fillId="0" borderId="1" xfId="1" applyNumberFormat="1" applyFont="1" applyFill="1" applyBorder="1" applyAlignment="1">
      <alignment vertical="center"/>
    </xf>
    <xf numFmtId="4" fontId="49" fillId="0" borderId="1" xfId="1" applyNumberFormat="1" applyFont="1" applyFill="1" applyBorder="1" applyAlignment="1">
      <alignment horizontal="right" vertical="center"/>
    </xf>
    <xf numFmtId="0" fontId="57" fillId="0" borderId="1" xfId="1" applyFont="1" applyFill="1" applyBorder="1" applyAlignment="1">
      <alignment horizontal="center" vertical="center"/>
    </xf>
    <xf numFmtId="49" fontId="49" fillId="0" borderId="1" xfId="0" applyNumberFormat="1" applyFont="1" applyFill="1" applyBorder="1" applyAlignment="1">
      <alignment horizontal="center" vertical="center"/>
    </xf>
    <xf numFmtId="0" fontId="49" fillId="0" borderId="1" xfId="0" applyFont="1" applyFill="1" applyBorder="1" applyAlignment="1">
      <alignment horizontal="left" vertical="center" wrapText="1"/>
    </xf>
    <xf numFmtId="0" fontId="58" fillId="0" borderId="6" xfId="0" applyFont="1" applyFill="1" applyBorder="1" applyAlignment="1">
      <alignment horizontal="left" vertical="center" wrapText="1"/>
    </xf>
    <xf numFmtId="0" fontId="57" fillId="0" borderId="1" xfId="1" applyFont="1" applyFill="1" applyBorder="1"/>
    <xf numFmtId="0" fontId="57" fillId="0" borderId="1" xfId="1" applyFont="1" applyFill="1" applyBorder="1" applyAlignment="1">
      <alignment horizontal="center"/>
    </xf>
    <xf numFmtId="4" fontId="41" fillId="0" borderId="1" xfId="1" applyNumberFormat="1" applyFont="1" applyFill="1" applyBorder="1" applyAlignment="1">
      <alignment horizontal="right" vertical="center"/>
    </xf>
    <xf numFmtId="4" fontId="49" fillId="0" borderId="1" xfId="1" applyNumberFormat="1" applyFont="1" applyFill="1" applyBorder="1" applyAlignment="1">
      <alignment vertical="center" wrapText="1"/>
    </xf>
    <xf numFmtId="0" fontId="15" fillId="0" borderId="1" xfId="0" applyFont="1" applyBorder="1" applyAlignment="1">
      <alignment horizontal="center" vertical="center" wrapText="1"/>
    </xf>
    <xf numFmtId="0" fontId="37" fillId="0" borderId="17" xfId="0" applyFont="1" applyBorder="1" applyAlignment="1">
      <alignment horizontal="center" vertical="center" wrapText="1"/>
    </xf>
    <xf numFmtId="0" fontId="60" fillId="0" borderId="1" xfId="0" applyFont="1" applyFill="1" applyBorder="1" applyAlignment="1">
      <alignment horizontal="left" vertical="center" wrapText="1"/>
    </xf>
    <xf numFmtId="0" fontId="61" fillId="0" borderId="1" xfId="0" applyFont="1" applyFill="1" applyBorder="1" applyAlignment="1">
      <alignment horizontal="left" vertical="center" wrapText="1"/>
    </xf>
    <xf numFmtId="0" fontId="15" fillId="0" borderId="1" xfId="0" applyFont="1" applyBorder="1" applyAlignment="1">
      <alignment horizontal="center" vertical="center" wrapText="1"/>
    </xf>
    <xf numFmtId="166" fontId="1" fillId="0" borderId="0" xfId="2" applyNumberFormat="1" applyFont="1"/>
    <xf numFmtId="0" fontId="37" fillId="0" borderId="2" xfId="0" applyFont="1" applyFill="1" applyBorder="1" applyAlignment="1">
      <alignment horizontal="center" vertical="center" wrapText="1"/>
    </xf>
    <xf numFmtId="166" fontId="63" fillId="7" borderId="0" xfId="2" applyNumberFormat="1" applyFont="1" applyFill="1" applyBorder="1" applyAlignment="1">
      <alignment horizontal="center" vertical="center" wrapText="1"/>
    </xf>
    <xf numFmtId="0" fontId="15" fillId="0" borderId="1" xfId="0" applyFont="1" applyBorder="1" applyAlignment="1">
      <alignment horizontal="center" vertical="center" wrapText="1"/>
    </xf>
    <xf numFmtId="49" fontId="64"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0" fontId="37" fillId="0" borderId="12" xfId="0" applyFont="1" applyBorder="1" applyAlignment="1">
      <alignment horizontal="center" vertical="center" wrapText="1"/>
    </xf>
    <xf numFmtId="43" fontId="9" fillId="0" borderId="1" xfId="2" applyFont="1" applyBorder="1" applyAlignment="1">
      <alignment horizontal="right" vertical="center"/>
    </xf>
    <xf numFmtId="0" fontId="15" fillId="0" borderId="1" xfId="0" applyFont="1" applyBorder="1" applyAlignment="1">
      <alignment horizontal="center" vertical="center" wrapText="1"/>
    </xf>
    <xf numFmtId="49" fontId="38"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4" fontId="9" fillId="0" borderId="4" xfId="1" applyNumberFormat="1" applyFont="1" applyBorder="1" applyAlignment="1">
      <alignment horizontal="right" vertical="center"/>
    </xf>
    <xf numFmtId="49" fontId="19" fillId="0" borderId="2" xfId="0" applyNumberFormat="1" applyFont="1" applyBorder="1" applyAlignment="1">
      <alignment horizontal="center" vertical="center"/>
    </xf>
    <xf numFmtId="0" fontId="20" fillId="13" borderId="2" xfId="1" applyFont="1" applyFill="1" applyBorder="1" applyAlignment="1">
      <alignment horizontal="center" vertical="center" wrapText="1"/>
    </xf>
    <xf numFmtId="0" fontId="20" fillId="13" borderId="3" xfId="1" applyFont="1" applyFill="1" applyBorder="1" applyAlignment="1">
      <alignment horizontal="center" vertical="center" wrapText="1"/>
    </xf>
    <xf numFmtId="0" fontId="20" fillId="13" borderId="4" xfId="1" applyFont="1" applyFill="1" applyBorder="1" applyAlignment="1">
      <alignment horizontal="center" vertical="center" wrapText="1"/>
    </xf>
    <xf numFmtId="0" fontId="8" fillId="9" borderId="2" xfId="1" applyFont="1" applyFill="1" applyBorder="1" applyAlignment="1">
      <alignment horizontal="center" vertical="center"/>
    </xf>
    <xf numFmtId="0" fontId="8" fillId="9" borderId="3" xfId="1" applyFont="1" applyFill="1" applyBorder="1" applyAlignment="1">
      <alignment horizontal="center" vertical="center"/>
    </xf>
    <xf numFmtId="0" fontId="8" fillId="9" borderId="4" xfId="1" applyFont="1" applyFill="1" applyBorder="1" applyAlignment="1">
      <alignment horizontal="center" vertical="center"/>
    </xf>
    <xf numFmtId="4" fontId="1" fillId="0" borderId="0" xfId="1" applyNumberFormat="1" applyBorder="1" applyAlignment="1">
      <alignment horizontal="right"/>
    </xf>
    <xf numFmtId="0" fontId="0" fillId="0" borderId="0" xfId="0" applyAlignment="1">
      <alignment horizontal="right"/>
    </xf>
    <xf numFmtId="0" fontId="25" fillId="0" borderId="0" xfId="1" applyFont="1" applyBorder="1" applyAlignment="1">
      <alignment horizontal="center" vertical="center" wrapText="1"/>
    </xf>
    <xf numFmtId="0" fontId="24" fillId="0" borderId="0" xfId="1" applyFont="1" applyBorder="1" applyAlignment="1">
      <alignment horizontal="center" vertical="center" wrapText="1"/>
    </xf>
    <xf numFmtId="0" fontId="14" fillId="0" borderId="7" xfId="0" applyFont="1" applyBorder="1" applyAlignment="1">
      <alignment horizontal="center" vertical="center" wrapText="1"/>
    </xf>
    <xf numFmtId="0" fontId="5" fillId="8" borderId="2" xfId="0" applyFont="1" applyFill="1" applyBorder="1" applyAlignment="1">
      <alignment horizontal="center" vertical="center"/>
    </xf>
    <xf numFmtId="0" fontId="5" fillId="8" borderId="3" xfId="0" applyFont="1" applyFill="1" applyBorder="1" applyAlignment="1">
      <alignment horizontal="center" vertical="center"/>
    </xf>
    <xf numFmtId="0" fontId="5" fillId="8" borderId="4" xfId="0" applyFont="1" applyFill="1" applyBorder="1" applyAlignment="1">
      <alignment horizontal="center" vertical="center"/>
    </xf>
    <xf numFmtId="0" fontId="5" fillId="8" borderId="2" xfId="1" applyFont="1" applyFill="1" applyBorder="1" applyAlignment="1">
      <alignment horizontal="center"/>
    </xf>
    <xf numFmtId="0" fontId="5" fillId="8" borderId="3" xfId="1" applyFont="1" applyFill="1" applyBorder="1" applyAlignment="1">
      <alignment horizontal="center"/>
    </xf>
    <xf numFmtId="0" fontId="5" fillId="8" borderId="4" xfId="1" applyFont="1" applyFill="1" applyBorder="1" applyAlignment="1">
      <alignment horizontal="center"/>
    </xf>
    <xf numFmtId="0" fontId="5" fillId="9" borderId="2" xfId="1" applyFont="1" applyFill="1" applyBorder="1" applyAlignment="1">
      <alignment horizontal="center" vertical="center"/>
    </xf>
    <xf numFmtId="0" fontId="5" fillId="9" borderId="3" xfId="1" applyFont="1" applyFill="1" applyBorder="1" applyAlignment="1">
      <alignment horizontal="center" vertical="center"/>
    </xf>
    <xf numFmtId="0" fontId="5" fillId="9" borderId="4" xfId="1" applyFont="1" applyFill="1" applyBorder="1" applyAlignment="1">
      <alignment horizontal="center" vertical="center"/>
    </xf>
    <xf numFmtId="49" fontId="5" fillId="8" borderId="2" xfId="0" applyNumberFormat="1" applyFont="1" applyFill="1" applyBorder="1" applyAlignment="1">
      <alignment horizontal="center" vertical="center"/>
    </xf>
    <xf numFmtId="49" fontId="5" fillId="8" borderId="3" xfId="0" applyNumberFormat="1" applyFont="1" applyFill="1" applyBorder="1" applyAlignment="1">
      <alignment horizontal="center" vertical="center"/>
    </xf>
    <xf numFmtId="49" fontId="5" fillId="8" borderId="4" xfId="0" applyNumberFormat="1" applyFont="1" applyFill="1" applyBorder="1" applyAlignment="1">
      <alignment horizontal="center" vertical="center"/>
    </xf>
    <xf numFmtId="49" fontId="5" fillId="10" borderId="2" xfId="0" applyNumberFormat="1" applyFont="1" applyFill="1" applyBorder="1" applyAlignment="1">
      <alignment horizontal="center" vertical="center"/>
    </xf>
    <xf numFmtId="49" fontId="6" fillId="10" borderId="3" xfId="0" applyNumberFormat="1" applyFont="1" applyFill="1" applyBorder="1" applyAlignment="1">
      <alignment horizontal="center" vertical="center"/>
    </xf>
    <xf numFmtId="49" fontId="6" fillId="10" borderId="4" xfId="0" applyNumberFormat="1" applyFont="1" applyFill="1" applyBorder="1" applyAlignment="1">
      <alignment horizontal="center" vertical="center"/>
    </xf>
    <xf numFmtId="0" fontId="5" fillId="10" borderId="2" xfId="0" applyFont="1" applyFill="1" applyBorder="1" applyAlignment="1">
      <alignment horizontal="center" vertical="center"/>
    </xf>
    <xf numFmtId="0" fontId="6" fillId="10" borderId="7" xfId="0" applyFont="1" applyFill="1" applyBorder="1" applyAlignment="1">
      <alignment horizontal="center" vertical="center"/>
    </xf>
    <xf numFmtId="0" fontId="6" fillId="10" borderId="4" xfId="0" applyFont="1" applyFill="1" applyBorder="1" applyAlignment="1">
      <alignment horizontal="center" vertical="center"/>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0" borderId="0" xfId="1" applyFont="1" applyFill="1" applyBorder="1" applyAlignment="1">
      <alignment horizontal="center" vertical="center"/>
    </xf>
    <xf numFmtId="49" fontId="5" fillId="0" borderId="0" xfId="1" applyNumberFormat="1" applyFont="1" applyFill="1" applyBorder="1" applyAlignment="1">
      <alignment horizontal="center" vertical="center"/>
    </xf>
    <xf numFmtId="0" fontId="26" fillId="0" borderId="0" xfId="1" applyFont="1" applyAlignment="1">
      <alignment horizontal="left" wrapText="1"/>
    </xf>
    <xf numFmtId="0" fontId="9" fillId="0" borderId="0" xfId="1" applyFont="1" applyBorder="1" applyAlignment="1">
      <alignment horizontal="left" wrapText="1"/>
    </xf>
    <xf numFmtId="0" fontId="9" fillId="0" borderId="0" xfId="0" applyFont="1" applyBorder="1" applyAlignment="1">
      <alignment horizontal="left" vertical="center" wrapText="1"/>
    </xf>
    <xf numFmtId="0" fontId="0" fillId="0" borderId="0" xfId="0" applyBorder="1" applyAlignment="1"/>
    <xf numFmtId="0" fontId="20" fillId="0" borderId="0" xfId="1" applyFont="1" applyBorder="1" applyAlignment="1">
      <alignment horizontal="center" vertical="center" wrapText="1"/>
    </xf>
    <xf numFmtId="0" fontId="9" fillId="0" borderId="0" xfId="1" applyFont="1" applyBorder="1" applyAlignment="1">
      <alignment horizontal="left" vertical="center" wrapText="1"/>
    </xf>
    <xf numFmtId="0" fontId="9" fillId="0" borderId="0" xfId="1" applyFont="1" applyAlignment="1">
      <alignment horizontal="left" vertical="center" wrapText="1" readingOrder="1"/>
    </xf>
    <xf numFmtId="0" fontId="5" fillId="8" borderId="7" xfId="0" applyFont="1" applyFill="1" applyBorder="1" applyAlignment="1">
      <alignment horizontal="center" vertical="center"/>
    </xf>
    <xf numFmtId="0" fontId="5" fillId="15" borderId="2" xfId="0" applyFont="1" applyFill="1" applyBorder="1" applyAlignment="1">
      <alignment horizontal="center" vertical="center"/>
    </xf>
    <xf numFmtId="0" fontId="5" fillId="15" borderId="3" xfId="0" applyFont="1" applyFill="1" applyBorder="1" applyAlignment="1">
      <alignment horizontal="center" vertical="center"/>
    </xf>
    <xf numFmtId="0" fontId="5" fillId="15" borderId="4" xfId="0" applyFont="1" applyFill="1" applyBorder="1" applyAlignment="1">
      <alignment horizontal="center" vertical="center"/>
    </xf>
    <xf numFmtId="0" fontId="5" fillId="16" borderId="1" xfId="0" applyFont="1" applyFill="1" applyBorder="1" applyAlignment="1">
      <alignment horizontal="center" vertical="center"/>
    </xf>
    <xf numFmtId="0" fontId="5" fillId="8" borderId="12" xfId="0" applyFont="1" applyFill="1" applyBorder="1" applyAlignment="1">
      <alignment horizontal="center" vertical="center"/>
    </xf>
    <xf numFmtId="0" fontId="5" fillId="8" borderId="11" xfId="0" applyFont="1" applyFill="1" applyBorder="1" applyAlignment="1">
      <alignment horizontal="center" vertical="center"/>
    </xf>
    <xf numFmtId="0" fontId="5" fillId="8" borderId="13" xfId="0" applyFont="1" applyFill="1" applyBorder="1" applyAlignment="1">
      <alignment horizontal="center" vertical="center"/>
    </xf>
    <xf numFmtId="0" fontId="20" fillId="13" borderId="1" xfId="1" applyFont="1" applyFill="1" applyBorder="1" applyAlignment="1">
      <alignment horizontal="center" vertical="center" wrapText="1"/>
    </xf>
    <xf numFmtId="0" fontId="44" fillId="0" borderId="7" xfId="0" applyFont="1" applyBorder="1" applyAlignment="1">
      <alignment horizontal="center" vertical="center" wrapText="1"/>
    </xf>
    <xf numFmtId="0" fontId="5" fillId="16" borderId="2" xfId="0" applyFont="1" applyFill="1" applyBorder="1" applyAlignment="1">
      <alignment horizontal="center" vertical="center"/>
    </xf>
    <xf numFmtId="0" fontId="5" fillId="16" borderId="3" xfId="0" applyFont="1" applyFill="1" applyBorder="1" applyAlignment="1">
      <alignment horizontal="center" vertical="center"/>
    </xf>
    <xf numFmtId="0" fontId="5" fillId="16" borderId="4" xfId="0" applyFont="1" applyFill="1" applyBorder="1" applyAlignment="1">
      <alignment horizontal="center" vertical="center"/>
    </xf>
    <xf numFmtId="0" fontId="10" fillId="0" borderId="0" xfId="1" applyFont="1" applyAlignment="1">
      <alignment horizontal="left" vertical="center" wrapText="1" readingOrder="1"/>
    </xf>
    <xf numFmtId="49" fontId="9" fillId="0" borderId="2"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0" fontId="46" fillId="8" borderId="2" xfId="0" applyFont="1" applyFill="1" applyBorder="1" applyAlignment="1">
      <alignment horizontal="center" vertical="center" wrapText="1"/>
    </xf>
    <xf numFmtId="0" fontId="46" fillId="8" borderId="3" xfId="0" applyFont="1" applyFill="1" applyBorder="1" applyAlignment="1">
      <alignment horizontal="center" vertical="center" wrapText="1"/>
    </xf>
    <xf numFmtId="0" fontId="46" fillId="8" borderId="4" xfId="0" applyFont="1" applyFill="1" applyBorder="1" applyAlignment="1">
      <alignment horizontal="center" vertical="center" wrapText="1"/>
    </xf>
    <xf numFmtId="0" fontId="15" fillId="0" borderId="5" xfId="0" applyFont="1" applyBorder="1" applyAlignment="1">
      <alignment horizontal="center" vertical="top" wrapText="1"/>
    </xf>
    <xf numFmtId="0" fontId="15" fillId="0" borderId="8" xfId="0" applyFont="1" applyBorder="1" applyAlignment="1">
      <alignment horizontal="center" vertical="top" wrapText="1"/>
    </xf>
    <xf numFmtId="0" fontId="15" fillId="0" borderId="6" xfId="0" applyFont="1" applyBorder="1" applyAlignment="1">
      <alignment horizontal="center" vertical="top"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top"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5" fillId="10" borderId="9" xfId="0" applyFont="1" applyFill="1" applyBorder="1" applyAlignment="1">
      <alignment horizontal="center" vertical="center"/>
    </xf>
    <xf numFmtId="0" fontId="6" fillId="10" borderId="10" xfId="0" applyFont="1" applyFill="1" applyBorder="1" applyAlignment="1">
      <alignment horizontal="center" vertical="center"/>
    </xf>
    <xf numFmtId="0" fontId="6" fillId="10" borderId="3" xfId="0" applyFont="1" applyFill="1" applyBorder="1" applyAlignment="1">
      <alignment horizontal="center" vertical="center"/>
    </xf>
    <xf numFmtId="0" fontId="5" fillId="8" borderId="1" xfId="0" applyFont="1" applyFill="1" applyBorder="1" applyAlignment="1">
      <alignment horizontal="center" vertical="center"/>
    </xf>
    <xf numFmtId="49" fontId="5" fillId="6" borderId="0" xfId="1" applyNumberFormat="1" applyFont="1" applyFill="1" applyBorder="1" applyAlignment="1">
      <alignment horizontal="center" vertical="center"/>
    </xf>
    <xf numFmtId="0" fontId="5" fillId="5" borderId="0" xfId="1" applyFont="1" applyFill="1" applyBorder="1" applyAlignment="1">
      <alignment horizontal="center" vertical="center"/>
    </xf>
    <xf numFmtId="0" fontId="5" fillId="4" borderId="0" xfId="1" applyFont="1" applyFill="1" applyBorder="1" applyAlignment="1">
      <alignment horizontal="center" vertical="center"/>
    </xf>
    <xf numFmtId="0" fontId="48" fillId="0" borderId="0" xfId="1" applyFont="1" applyAlignment="1">
      <alignment horizontal="left" vertical="center" wrapText="1" readingOrder="1"/>
    </xf>
    <xf numFmtId="0" fontId="1" fillId="0" borderId="0" xfId="1" applyAlignment="1">
      <alignment horizontal="center" vertical="center" wrapText="1"/>
    </xf>
    <xf numFmtId="0" fontId="6" fillId="8" borderId="3" xfId="0" applyFont="1" applyFill="1" applyBorder="1" applyAlignment="1">
      <alignment horizontal="center" vertical="center"/>
    </xf>
    <xf numFmtId="0" fontId="6" fillId="8" borderId="4" xfId="0" applyFont="1" applyFill="1" applyBorder="1" applyAlignment="1">
      <alignment horizontal="center" vertical="center"/>
    </xf>
    <xf numFmtId="0" fontId="8" fillId="10" borderId="2" xfId="0" applyFont="1" applyFill="1" applyBorder="1" applyAlignment="1">
      <alignment horizontal="center" vertical="center"/>
    </xf>
    <xf numFmtId="0" fontId="8" fillId="10" borderId="3" xfId="0" applyFont="1" applyFill="1" applyBorder="1" applyAlignment="1">
      <alignment horizontal="center" vertical="center"/>
    </xf>
    <xf numFmtId="0" fontId="8" fillId="10" borderId="4" xfId="0" applyFont="1" applyFill="1" applyBorder="1" applyAlignment="1">
      <alignment horizontal="center" vertical="center"/>
    </xf>
    <xf numFmtId="0" fontId="1" fillId="0" borderId="0" xfId="1" applyAlignment="1">
      <alignment horizontal="left" vertical="center" wrapText="1"/>
    </xf>
    <xf numFmtId="0" fontId="5" fillId="12" borderId="1" xfId="1" applyFont="1" applyFill="1" applyBorder="1" applyAlignment="1">
      <alignment horizontal="center"/>
    </xf>
    <xf numFmtId="0" fontId="3" fillId="0" borderId="0" xfId="1" applyFont="1" applyBorder="1" applyAlignment="1">
      <alignment horizontal="center" wrapText="1"/>
    </xf>
    <xf numFmtId="0" fontId="5" fillId="11" borderId="1" xfId="1" applyFont="1" applyFill="1" applyBorder="1" applyAlignment="1">
      <alignment horizontal="center" vertical="center"/>
    </xf>
    <xf numFmtId="49" fontId="5" fillId="12" borderId="1" xfId="1" applyNumberFormat="1" applyFont="1" applyFill="1" applyBorder="1" applyAlignment="1">
      <alignment horizontal="center" vertical="center"/>
    </xf>
    <xf numFmtId="0" fontId="1" fillId="0" borderId="0" xfId="1" applyAlignment="1">
      <alignment wrapText="1"/>
    </xf>
    <xf numFmtId="0" fontId="0" fillId="0" borderId="0" xfId="0" applyAlignment="1"/>
    <xf numFmtId="0" fontId="0" fillId="0" borderId="0" xfId="0" applyAlignment="1">
      <alignment wrapText="1"/>
    </xf>
    <xf numFmtId="0" fontId="5" fillId="8" borderId="15" xfId="0" applyFont="1" applyFill="1" applyBorder="1" applyAlignment="1">
      <alignment horizontal="center" vertical="center"/>
    </xf>
    <xf numFmtId="0" fontId="5" fillId="8" borderId="0" xfId="0" applyFont="1" applyFill="1" applyBorder="1" applyAlignment="1">
      <alignment horizontal="center" vertical="center"/>
    </xf>
    <xf numFmtId="0" fontId="0" fillId="0" borderId="16" xfId="0" applyBorder="1" applyAlignment="1"/>
    <xf numFmtId="0" fontId="57" fillId="0" borderId="2" xfId="1" applyFont="1" applyFill="1" applyBorder="1" applyAlignment="1">
      <alignment vertical="center"/>
    </xf>
    <xf numFmtId="0" fontId="37" fillId="0" borderId="4" xfId="0" applyFont="1" applyBorder="1" applyAlignment="1">
      <alignment vertical="center"/>
    </xf>
    <xf numFmtId="4" fontId="49" fillId="0" borderId="2" xfId="1" applyNumberFormat="1" applyFont="1" applyFill="1" applyBorder="1" applyAlignment="1">
      <alignment vertical="center"/>
    </xf>
    <xf numFmtId="0" fontId="37" fillId="0" borderId="3" xfId="0" applyFont="1" applyFill="1" applyBorder="1" applyAlignment="1">
      <alignment vertical="center"/>
    </xf>
    <xf numFmtId="0" fontId="37" fillId="0" borderId="4" xfId="0" applyFont="1" applyFill="1" applyBorder="1" applyAlignment="1">
      <alignment vertical="center"/>
    </xf>
  </cellXfs>
  <cellStyles count="3">
    <cellStyle name="Excel Built-in Normal" xfId="1"/>
    <cellStyle name="Обычный" xfId="0" builtinId="0"/>
    <cellStyle name="Финансовый" xfId="2"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3D69B"/>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2D050"/>
      <rgbColor rgb="00FFCC00"/>
      <rgbColor rgb="00FF9900"/>
      <rgbColor rgb="00FF6600"/>
      <rgbColor rgb="00666699"/>
      <rgbColor rgb="0094BD5E"/>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0</xdr:colOff>
      <xdr:row>616</xdr:row>
      <xdr:rowOff>0</xdr:rowOff>
    </xdr:from>
    <xdr:ext cx="527114" cy="267702"/>
    <xdr:sp macro="" textlink="">
      <xdr:nvSpPr>
        <xdr:cNvPr id="2" name="TextBox 1"/>
        <xdr:cNvSpPr txBox="1"/>
      </xdr:nvSpPr>
      <xdr:spPr>
        <a:xfrm>
          <a:off x="7277068" y="4889500"/>
          <a:ext cx="527114"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8</xdr:row>
      <xdr:rowOff>0</xdr:rowOff>
    </xdr:from>
    <xdr:ext cx="527114" cy="264560"/>
    <xdr:sp macro="" textlink="">
      <xdr:nvSpPr>
        <xdr:cNvPr id="2" name="TextBox 1"/>
        <xdr:cNvSpPr txBox="1"/>
      </xdr:nvSpPr>
      <xdr:spPr>
        <a:xfrm>
          <a:off x="7277068" y="3460750"/>
          <a:ext cx="52711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569880</xdr:colOff>
      <xdr:row>8</xdr:row>
      <xdr:rowOff>0</xdr:rowOff>
    </xdr:from>
    <xdr:ext cx="527114" cy="267702"/>
    <xdr:sp macro="" textlink="">
      <xdr:nvSpPr>
        <xdr:cNvPr id="2" name="TextBox 1"/>
        <xdr:cNvSpPr txBox="1"/>
      </xdr:nvSpPr>
      <xdr:spPr>
        <a:xfrm>
          <a:off x="7277068" y="3460750"/>
          <a:ext cx="527114" cy="26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pageSetUpPr fitToPage="1"/>
  </sheetPr>
  <dimension ref="A1:AE395"/>
  <sheetViews>
    <sheetView topLeftCell="A81" zoomScale="120" zoomScaleNormal="120" workbookViewId="0">
      <selection activeCell="E93" sqref="E93:E94"/>
    </sheetView>
  </sheetViews>
  <sheetFormatPr defaultColWidth="8.5703125" defaultRowHeight="15.75" outlineLevelRow="2" x14ac:dyDescent="0.25"/>
  <cols>
    <col min="1" max="1" width="8.85546875" style="48" customWidth="1"/>
    <col min="2" max="2" width="76.28515625" style="1" customWidth="1"/>
    <col min="3" max="6" width="14.42578125" style="48" customWidth="1"/>
    <col min="7" max="9" width="13" style="74" hidden="1" customWidth="1"/>
    <col min="10" max="12" width="8.5703125" style="158" hidden="1" customWidth="1"/>
    <col min="13" max="13" width="0" style="158" hidden="1" customWidth="1"/>
    <col min="14" max="31" width="8.5703125" style="158"/>
    <col min="32" max="16384" width="8.5703125" style="1"/>
  </cols>
  <sheetData>
    <row r="1" spans="1:31" ht="18" x14ac:dyDescent="0.25">
      <c r="B1" s="47"/>
      <c r="C1" s="80"/>
      <c r="D1" s="80"/>
      <c r="E1" s="80"/>
      <c r="F1" s="71" t="s">
        <v>364</v>
      </c>
      <c r="H1" s="71"/>
      <c r="I1" s="71"/>
    </row>
    <row r="2" spans="1:31" ht="18" x14ac:dyDescent="0.25">
      <c r="A2" s="1"/>
      <c r="B2" s="44"/>
      <c r="C2" s="2"/>
      <c r="D2" s="2"/>
      <c r="E2" s="313"/>
      <c r="F2" s="116" t="s">
        <v>3523</v>
      </c>
      <c r="H2" s="116"/>
      <c r="I2" s="116"/>
    </row>
    <row r="3" spans="1:31" ht="18" customHeight="1" x14ac:dyDescent="0.25">
      <c r="B3" s="387"/>
      <c r="C3" s="388"/>
      <c r="D3" s="388"/>
      <c r="E3" s="388"/>
      <c r="F3" s="388"/>
      <c r="G3" s="388"/>
      <c r="H3" s="285"/>
      <c r="I3" s="285"/>
    </row>
    <row r="4" spans="1:31" ht="23.25" x14ac:dyDescent="0.25">
      <c r="A4" s="389" t="s">
        <v>1220</v>
      </c>
      <c r="B4" s="389"/>
      <c r="C4" s="389"/>
      <c r="D4" s="389"/>
      <c r="E4" s="389"/>
      <c r="F4" s="389"/>
      <c r="G4" s="389"/>
      <c r="H4" s="286"/>
      <c r="I4" s="286"/>
    </row>
    <row r="5" spans="1:31" ht="21" x14ac:dyDescent="0.25">
      <c r="A5" s="390" t="s">
        <v>1221</v>
      </c>
      <c r="B5" s="390"/>
      <c r="C5" s="390"/>
      <c r="D5" s="390"/>
      <c r="E5" s="390"/>
      <c r="F5" s="390"/>
      <c r="G5" s="390"/>
      <c r="H5" s="287"/>
      <c r="I5" s="287"/>
    </row>
    <row r="6" spans="1:31" s="3" customFormat="1" ht="21" x14ac:dyDescent="0.35">
      <c r="A6" s="390" t="s">
        <v>1222</v>
      </c>
      <c r="B6" s="390"/>
      <c r="C6" s="390"/>
      <c r="D6" s="390"/>
      <c r="E6" s="390"/>
      <c r="F6" s="390"/>
      <c r="G6" s="390"/>
      <c r="H6" s="287"/>
      <c r="I6" s="287"/>
      <c r="J6" s="158"/>
      <c r="K6" s="158"/>
      <c r="L6" s="158"/>
      <c r="M6" s="158"/>
      <c r="N6" s="158"/>
      <c r="O6" s="158"/>
      <c r="P6" s="158"/>
      <c r="Q6" s="158"/>
      <c r="R6" s="158"/>
      <c r="S6" s="158"/>
      <c r="T6" s="158"/>
      <c r="U6" s="158"/>
      <c r="V6" s="158"/>
      <c r="W6" s="158"/>
      <c r="X6" s="158"/>
      <c r="Y6" s="158"/>
      <c r="Z6" s="158"/>
      <c r="AA6" s="158"/>
      <c r="AB6" s="158"/>
      <c r="AC6" s="158"/>
      <c r="AD6" s="158"/>
      <c r="AE6" s="158"/>
    </row>
    <row r="7" spans="1:31" s="114" customFormat="1" ht="32.25" customHeight="1" x14ac:dyDescent="0.35">
      <c r="A7" s="391" t="s">
        <v>3787</v>
      </c>
      <c r="B7" s="391"/>
      <c r="C7" s="391"/>
      <c r="D7" s="391"/>
      <c r="E7" s="391"/>
      <c r="F7" s="391"/>
      <c r="G7" s="391"/>
      <c r="H7" s="4" t="s">
        <v>1579</v>
      </c>
      <c r="I7" s="300"/>
      <c r="J7" s="158"/>
      <c r="K7" s="158"/>
      <c r="L7" s="158"/>
      <c r="M7" s="158"/>
      <c r="N7" s="158"/>
      <c r="O7" s="158"/>
      <c r="P7" s="158"/>
      <c r="Q7" s="158"/>
      <c r="R7" s="158"/>
      <c r="S7" s="158"/>
      <c r="T7" s="158"/>
      <c r="U7" s="158"/>
      <c r="V7" s="158"/>
      <c r="W7" s="158"/>
      <c r="X7" s="158"/>
      <c r="Y7" s="158"/>
      <c r="Z7" s="158"/>
      <c r="AA7" s="158"/>
      <c r="AB7" s="158"/>
      <c r="AC7" s="158"/>
      <c r="AD7" s="158"/>
      <c r="AE7" s="158"/>
    </row>
    <row r="8" spans="1:31" s="4" customFormat="1" ht="37.5" x14ac:dyDescent="0.25">
      <c r="A8" s="16" t="s">
        <v>0</v>
      </c>
      <c r="B8" s="16" t="s">
        <v>1</v>
      </c>
      <c r="C8" s="119" t="s">
        <v>2</v>
      </c>
      <c r="D8" s="17" t="s">
        <v>3</v>
      </c>
      <c r="E8" s="16" t="s">
        <v>1393</v>
      </c>
      <c r="F8" s="17" t="s">
        <v>1394</v>
      </c>
      <c r="G8" s="17" t="s">
        <v>1394</v>
      </c>
      <c r="H8" s="210">
        <v>1.0840000000000001</v>
      </c>
      <c r="I8" s="301"/>
      <c r="J8" s="158"/>
      <c r="K8" s="158"/>
      <c r="L8" s="158"/>
      <c r="M8" s="158"/>
      <c r="N8" s="158"/>
      <c r="O8" s="158"/>
      <c r="P8" s="158"/>
      <c r="Q8" s="158"/>
      <c r="R8" s="158"/>
      <c r="S8" s="158"/>
      <c r="T8" s="158"/>
      <c r="U8" s="158"/>
      <c r="V8" s="158"/>
      <c r="W8" s="158"/>
      <c r="X8" s="158"/>
      <c r="Y8" s="158"/>
      <c r="Z8" s="158"/>
      <c r="AA8" s="158"/>
      <c r="AB8" s="158"/>
      <c r="AC8" s="158"/>
      <c r="AD8" s="158"/>
      <c r="AE8" s="158"/>
    </row>
    <row r="9" spans="1:31" s="4" customFormat="1" ht="18.75" x14ac:dyDescent="0.25">
      <c r="A9" s="381" t="s">
        <v>1218</v>
      </c>
      <c r="B9" s="382"/>
      <c r="C9" s="382"/>
      <c r="D9" s="382"/>
      <c r="E9" s="382"/>
      <c r="F9" s="382"/>
      <c r="G9" s="383"/>
      <c r="H9" s="302"/>
      <c r="I9" s="302"/>
      <c r="J9" s="158"/>
      <c r="K9" s="158"/>
      <c r="L9" s="158"/>
      <c r="M9" s="158"/>
      <c r="N9" s="158"/>
      <c r="O9" s="158"/>
      <c r="P9" s="158"/>
      <c r="Q9" s="158"/>
      <c r="R9" s="158"/>
      <c r="S9" s="158"/>
      <c r="T9" s="158"/>
      <c r="U9" s="158"/>
      <c r="V9" s="158"/>
      <c r="W9" s="158"/>
      <c r="X9" s="158"/>
      <c r="Y9" s="158"/>
      <c r="Z9" s="158"/>
      <c r="AA9" s="158"/>
      <c r="AB9" s="158"/>
      <c r="AC9" s="158"/>
      <c r="AD9" s="158"/>
      <c r="AE9" s="158"/>
    </row>
    <row r="10" spans="1:31" ht="18.75" x14ac:dyDescent="0.25">
      <c r="A10" s="384" t="s">
        <v>4</v>
      </c>
      <c r="B10" s="385"/>
      <c r="C10" s="385"/>
      <c r="D10" s="385"/>
      <c r="E10" s="385"/>
      <c r="F10" s="385"/>
      <c r="G10" s="386"/>
      <c r="H10" s="303"/>
      <c r="I10" s="303"/>
    </row>
    <row r="11" spans="1:31" outlineLevel="1" x14ac:dyDescent="0.25">
      <c r="A11" s="23" t="s">
        <v>5</v>
      </c>
      <c r="B11" s="24" t="s">
        <v>386</v>
      </c>
      <c r="C11" s="107" t="s">
        <v>6</v>
      </c>
      <c r="D11" s="118">
        <f>F11-E11</f>
        <v>491.66666666666663</v>
      </c>
      <c r="E11" s="118">
        <f>F11/1.2*0.2</f>
        <v>98.333333333333343</v>
      </c>
      <c r="F11" s="118">
        <f>I11</f>
        <v>590</v>
      </c>
      <c r="G11" s="118">
        <v>544</v>
      </c>
      <c r="H11" s="304">
        <f t="shared" ref="H11:H38" si="0">G11*$H$8</f>
        <v>589.69600000000003</v>
      </c>
      <c r="I11" s="304">
        <f>ROUND(H11,0)</f>
        <v>590</v>
      </c>
    </row>
    <row r="12" spans="1:31" outlineLevel="1" x14ac:dyDescent="0.25">
      <c r="A12" s="23" t="s">
        <v>7</v>
      </c>
      <c r="B12" s="24" t="s">
        <v>224</v>
      </c>
      <c r="C12" s="107" t="s">
        <v>6</v>
      </c>
      <c r="D12" s="118">
        <f t="shared" ref="D12:D38" si="1">F12-E12</f>
        <v>443.33333333333331</v>
      </c>
      <c r="E12" s="118">
        <f t="shared" ref="E12:E75" si="2">F12/1.2*0.2</f>
        <v>88.666666666666686</v>
      </c>
      <c r="F12" s="118">
        <f t="shared" ref="F12:F37" si="3">I12</f>
        <v>532</v>
      </c>
      <c r="G12" s="118">
        <v>491</v>
      </c>
      <c r="H12" s="304">
        <f t="shared" si="0"/>
        <v>532.24400000000003</v>
      </c>
      <c r="I12" s="304">
        <f t="shared" ref="I12:I75" si="4">ROUND(H12,0)</f>
        <v>532</v>
      </c>
    </row>
    <row r="13" spans="1:31" outlineLevel="1" x14ac:dyDescent="0.25">
      <c r="A13" s="23" t="s">
        <v>8</v>
      </c>
      <c r="B13" s="24" t="s">
        <v>287</v>
      </c>
      <c r="C13" s="107" t="s">
        <v>6</v>
      </c>
      <c r="D13" s="118">
        <f t="shared" si="1"/>
        <v>462.5</v>
      </c>
      <c r="E13" s="118">
        <f t="shared" si="2"/>
        <v>92.5</v>
      </c>
      <c r="F13" s="118">
        <f t="shared" si="3"/>
        <v>555</v>
      </c>
      <c r="G13" s="118">
        <v>512</v>
      </c>
      <c r="H13" s="304">
        <f t="shared" si="0"/>
        <v>555.00800000000004</v>
      </c>
      <c r="I13" s="304">
        <f t="shared" si="4"/>
        <v>555</v>
      </c>
    </row>
    <row r="14" spans="1:31" outlineLevel="1" x14ac:dyDescent="0.25">
      <c r="A14" s="23" t="s">
        <v>9</v>
      </c>
      <c r="B14" s="24" t="s">
        <v>288</v>
      </c>
      <c r="C14" s="107" t="s">
        <v>6</v>
      </c>
      <c r="D14" s="118">
        <f t="shared" si="1"/>
        <v>513.33333333333326</v>
      </c>
      <c r="E14" s="118">
        <f t="shared" si="2"/>
        <v>102.66666666666669</v>
      </c>
      <c r="F14" s="118">
        <f t="shared" si="3"/>
        <v>616</v>
      </c>
      <c r="G14" s="118">
        <v>568</v>
      </c>
      <c r="H14" s="304">
        <f t="shared" si="0"/>
        <v>615.71199999999999</v>
      </c>
      <c r="I14" s="304">
        <f t="shared" si="4"/>
        <v>616</v>
      </c>
    </row>
    <row r="15" spans="1:31" outlineLevel="1" x14ac:dyDescent="0.25">
      <c r="A15" s="23" t="s">
        <v>10</v>
      </c>
      <c r="B15" s="32" t="s">
        <v>433</v>
      </c>
      <c r="C15" s="107" t="s">
        <v>154</v>
      </c>
      <c r="D15" s="118">
        <f t="shared" si="1"/>
        <v>402.5</v>
      </c>
      <c r="E15" s="118">
        <f t="shared" si="2"/>
        <v>80.5</v>
      </c>
      <c r="F15" s="118">
        <f t="shared" si="3"/>
        <v>483</v>
      </c>
      <c r="G15" s="118">
        <v>446</v>
      </c>
      <c r="H15" s="304">
        <f t="shared" si="0"/>
        <v>483.46400000000006</v>
      </c>
      <c r="I15" s="304">
        <f t="shared" si="4"/>
        <v>483</v>
      </c>
    </row>
    <row r="16" spans="1:31" ht="31.5" outlineLevel="1" x14ac:dyDescent="0.25">
      <c r="A16" s="23" t="s">
        <v>11</v>
      </c>
      <c r="B16" s="32" t="s">
        <v>434</v>
      </c>
      <c r="C16" s="107" t="s">
        <v>6</v>
      </c>
      <c r="D16" s="118">
        <f t="shared" si="1"/>
        <v>289.16666666666663</v>
      </c>
      <c r="E16" s="118">
        <f t="shared" si="2"/>
        <v>57.833333333333343</v>
      </c>
      <c r="F16" s="118">
        <f t="shared" si="3"/>
        <v>347</v>
      </c>
      <c r="G16" s="118">
        <v>320</v>
      </c>
      <c r="H16" s="304">
        <f t="shared" si="0"/>
        <v>346.88</v>
      </c>
      <c r="I16" s="304">
        <f t="shared" si="4"/>
        <v>347</v>
      </c>
    </row>
    <row r="17" spans="1:31" outlineLevel="1" x14ac:dyDescent="0.25">
      <c r="A17" s="23" t="s">
        <v>12</v>
      </c>
      <c r="B17" s="24" t="s">
        <v>435</v>
      </c>
      <c r="C17" s="107" t="s">
        <v>154</v>
      </c>
      <c r="D17" s="118">
        <f t="shared" si="1"/>
        <v>491.66666666666663</v>
      </c>
      <c r="E17" s="118">
        <f t="shared" si="2"/>
        <v>98.333333333333343</v>
      </c>
      <c r="F17" s="118">
        <f t="shared" si="3"/>
        <v>590</v>
      </c>
      <c r="G17" s="118">
        <v>544</v>
      </c>
      <c r="H17" s="304">
        <f t="shared" si="0"/>
        <v>589.69600000000003</v>
      </c>
      <c r="I17" s="304">
        <f t="shared" si="4"/>
        <v>590</v>
      </c>
    </row>
    <row r="18" spans="1:31" outlineLevel="1" x14ac:dyDescent="0.25">
      <c r="A18" s="23" t="s">
        <v>13</v>
      </c>
      <c r="B18" s="24" t="s">
        <v>16</v>
      </c>
      <c r="C18" s="107" t="s">
        <v>6</v>
      </c>
      <c r="D18" s="118">
        <f t="shared" si="1"/>
        <v>579.16666666666663</v>
      </c>
      <c r="E18" s="118">
        <f t="shared" si="2"/>
        <v>115.83333333333336</v>
      </c>
      <c r="F18" s="118">
        <f t="shared" si="3"/>
        <v>695</v>
      </c>
      <c r="G18" s="118">
        <v>641</v>
      </c>
      <c r="H18" s="304">
        <f t="shared" si="0"/>
        <v>694.84400000000005</v>
      </c>
      <c r="I18" s="304">
        <f t="shared" si="4"/>
        <v>695</v>
      </c>
    </row>
    <row r="19" spans="1:31" outlineLevel="1" x14ac:dyDescent="0.25">
      <c r="A19" s="23" t="s">
        <v>14</v>
      </c>
      <c r="B19" s="24" t="s">
        <v>436</v>
      </c>
      <c r="C19" s="107" t="s">
        <v>6</v>
      </c>
      <c r="D19" s="118">
        <f t="shared" si="1"/>
        <v>289.16666666666663</v>
      </c>
      <c r="E19" s="118">
        <f t="shared" si="2"/>
        <v>57.833333333333343</v>
      </c>
      <c r="F19" s="118">
        <f t="shared" si="3"/>
        <v>347</v>
      </c>
      <c r="G19" s="118">
        <v>320</v>
      </c>
      <c r="H19" s="304">
        <f t="shared" si="0"/>
        <v>346.88</v>
      </c>
      <c r="I19" s="304">
        <f t="shared" si="4"/>
        <v>347</v>
      </c>
    </row>
    <row r="20" spans="1:31" ht="31.5" outlineLevel="1" x14ac:dyDescent="0.25">
      <c r="A20" s="23" t="s">
        <v>409</v>
      </c>
      <c r="B20" s="24" t="s">
        <v>390</v>
      </c>
      <c r="C20" s="107" t="s">
        <v>6</v>
      </c>
      <c r="D20" s="118">
        <f t="shared" si="1"/>
        <v>545.83333333333326</v>
      </c>
      <c r="E20" s="118">
        <f t="shared" si="2"/>
        <v>109.16666666666669</v>
      </c>
      <c r="F20" s="118">
        <f t="shared" si="3"/>
        <v>655</v>
      </c>
      <c r="G20" s="118">
        <v>604</v>
      </c>
      <c r="H20" s="304">
        <f t="shared" si="0"/>
        <v>654.73599999999999</v>
      </c>
      <c r="I20" s="304">
        <f t="shared" si="4"/>
        <v>655</v>
      </c>
    </row>
    <row r="21" spans="1:31" outlineLevel="1" x14ac:dyDescent="0.25">
      <c r="A21" s="23" t="s">
        <v>15</v>
      </c>
      <c r="B21" s="24" t="s">
        <v>391</v>
      </c>
      <c r="C21" s="107" t="s">
        <v>6</v>
      </c>
      <c r="D21" s="118">
        <f t="shared" si="1"/>
        <v>926.66666666666663</v>
      </c>
      <c r="E21" s="118">
        <f t="shared" si="2"/>
        <v>185.33333333333337</v>
      </c>
      <c r="F21" s="118">
        <f t="shared" si="3"/>
        <v>1112</v>
      </c>
      <c r="G21" s="118">
        <v>1026</v>
      </c>
      <c r="H21" s="304">
        <f t="shared" si="0"/>
        <v>1112.184</v>
      </c>
      <c r="I21" s="304">
        <f t="shared" si="4"/>
        <v>1112</v>
      </c>
    </row>
    <row r="22" spans="1:31" ht="31.5" outlineLevel="1" x14ac:dyDescent="0.25">
      <c r="A22" s="23" t="s">
        <v>17</v>
      </c>
      <c r="B22" s="24" t="s">
        <v>392</v>
      </c>
      <c r="C22" s="107" t="s">
        <v>6</v>
      </c>
      <c r="D22" s="118">
        <f t="shared" si="1"/>
        <v>926.66666666666663</v>
      </c>
      <c r="E22" s="118">
        <f t="shared" si="2"/>
        <v>185.33333333333337</v>
      </c>
      <c r="F22" s="118">
        <f t="shared" si="3"/>
        <v>1112</v>
      </c>
      <c r="G22" s="118">
        <v>1026</v>
      </c>
      <c r="H22" s="304">
        <f t="shared" si="0"/>
        <v>1112.184</v>
      </c>
      <c r="I22" s="304">
        <f t="shared" si="4"/>
        <v>1112</v>
      </c>
    </row>
    <row r="23" spans="1:31" ht="31.5" outlineLevel="1" x14ac:dyDescent="0.25">
      <c r="A23" s="23" t="s">
        <v>18</v>
      </c>
      <c r="B23" s="24" t="s">
        <v>393</v>
      </c>
      <c r="C23" s="107" t="s">
        <v>6</v>
      </c>
      <c r="D23" s="118">
        <f t="shared" si="1"/>
        <v>1158.3333333333333</v>
      </c>
      <c r="E23" s="118">
        <f t="shared" si="2"/>
        <v>231.66666666666671</v>
      </c>
      <c r="F23" s="118">
        <f t="shared" si="3"/>
        <v>1390</v>
      </c>
      <c r="G23" s="118">
        <v>1282</v>
      </c>
      <c r="H23" s="304">
        <f t="shared" si="0"/>
        <v>1389.6880000000001</v>
      </c>
      <c r="I23" s="304">
        <f t="shared" si="4"/>
        <v>1390</v>
      </c>
    </row>
    <row r="24" spans="1:31" s="14" customFormat="1" outlineLevel="1" x14ac:dyDescent="0.25">
      <c r="A24" s="23" t="s">
        <v>19</v>
      </c>
      <c r="B24" s="24" t="s">
        <v>372</v>
      </c>
      <c r="C24" s="107" t="s">
        <v>6</v>
      </c>
      <c r="D24" s="118">
        <f t="shared" si="1"/>
        <v>1158.3333333333333</v>
      </c>
      <c r="E24" s="118">
        <f t="shared" si="2"/>
        <v>231.66666666666671</v>
      </c>
      <c r="F24" s="118">
        <f t="shared" si="3"/>
        <v>1390</v>
      </c>
      <c r="G24" s="118">
        <v>1282</v>
      </c>
      <c r="H24" s="304">
        <f t="shared" si="0"/>
        <v>1389.6880000000001</v>
      </c>
      <c r="I24" s="304">
        <f t="shared" si="4"/>
        <v>1390</v>
      </c>
      <c r="J24" s="158"/>
      <c r="K24" s="158"/>
      <c r="L24" s="158"/>
      <c r="M24" s="158"/>
      <c r="N24" s="158"/>
      <c r="O24" s="158"/>
      <c r="P24" s="158"/>
      <c r="Q24" s="158"/>
      <c r="R24" s="158"/>
      <c r="S24" s="158"/>
      <c r="T24" s="158"/>
      <c r="U24" s="158"/>
      <c r="V24" s="158"/>
      <c r="W24" s="158"/>
      <c r="X24" s="158"/>
      <c r="Y24" s="158"/>
      <c r="Z24" s="158"/>
      <c r="AA24" s="158"/>
      <c r="AB24" s="158"/>
      <c r="AC24" s="158"/>
      <c r="AD24" s="158"/>
      <c r="AE24" s="158"/>
    </row>
    <row r="25" spans="1:31" s="14" customFormat="1" outlineLevel="1" x14ac:dyDescent="0.25">
      <c r="A25" s="23" t="s">
        <v>20</v>
      </c>
      <c r="B25" s="24" t="s">
        <v>26</v>
      </c>
      <c r="C25" s="107" t="s">
        <v>6</v>
      </c>
      <c r="D25" s="118">
        <f t="shared" si="1"/>
        <v>718.33333333333326</v>
      </c>
      <c r="E25" s="118">
        <f t="shared" si="2"/>
        <v>143.66666666666669</v>
      </c>
      <c r="F25" s="118">
        <f t="shared" si="3"/>
        <v>862</v>
      </c>
      <c r="G25" s="118">
        <v>795</v>
      </c>
      <c r="H25" s="304">
        <f t="shared" si="0"/>
        <v>861.78000000000009</v>
      </c>
      <c r="I25" s="304">
        <f t="shared" si="4"/>
        <v>862</v>
      </c>
      <c r="J25" s="158"/>
      <c r="K25" s="158"/>
      <c r="L25" s="158"/>
      <c r="M25" s="158"/>
      <c r="N25" s="158"/>
      <c r="O25" s="158"/>
      <c r="P25" s="158"/>
      <c r="Q25" s="158"/>
      <c r="R25" s="158"/>
      <c r="S25" s="158"/>
      <c r="T25" s="158"/>
      <c r="U25" s="158"/>
      <c r="V25" s="158"/>
      <c r="W25" s="158"/>
      <c r="X25" s="158"/>
      <c r="Y25" s="158"/>
      <c r="Z25" s="158"/>
      <c r="AA25" s="158"/>
      <c r="AB25" s="158"/>
      <c r="AC25" s="158"/>
      <c r="AD25" s="158"/>
      <c r="AE25" s="158"/>
    </row>
    <row r="26" spans="1:31" s="14" customFormat="1" outlineLevel="1" x14ac:dyDescent="0.25">
      <c r="A26" s="23" t="s">
        <v>21</v>
      </c>
      <c r="B26" s="24" t="s">
        <v>28</v>
      </c>
      <c r="C26" s="107" t="s">
        <v>6</v>
      </c>
      <c r="D26" s="118">
        <f t="shared" si="1"/>
        <v>683.33333333333326</v>
      </c>
      <c r="E26" s="118">
        <f t="shared" si="2"/>
        <v>136.66666666666669</v>
      </c>
      <c r="F26" s="118">
        <f t="shared" si="3"/>
        <v>820</v>
      </c>
      <c r="G26" s="118">
        <v>756</v>
      </c>
      <c r="H26" s="304">
        <f t="shared" si="0"/>
        <v>819.50400000000002</v>
      </c>
      <c r="I26" s="304">
        <f t="shared" si="4"/>
        <v>820</v>
      </c>
      <c r="J26" s="158"/>
      <c r="K26" s="158"/>
      <c r="L26" s="158"/>
      <c r="M26" s="158"/>
      <c r="N26" s="158"/>
      <c r="O26" s="158"/>
      <c r="P26" s="158"/>
      <c r="Q26" s="158"/>
      <c r="R26" s="158"/>
      <c r="S26" s="158"/>
      <c r="T26" s="158"/>
      <c r="U26" s="158"/>
      <c r="V26" s="158"/>
      <c r="W26" s="158"/>
      <c r="X26" s="158"/>
      <c r="Y26" s="158"/>
      <c r="Z26" s="158"/>
      <c r="AA26" s="158"/>
      <c r="AB26" s="158"/>
      <c r="AC26" s="158"/>
      <c r="AD26" s="158"/>
      <c r="AE26" s="158"/>
    </row>
    <row r="27" spans="1:31" s="14" customFormat="1" outlineLevel="1" x14ac:dyDescent="0.25">
      <c r="A27" s="23" t="s">
        <v>22</v>
      </c>
      <c r="B27" s="24" t="s">
        <v>437</v>
      </c>
      <c r="C27" s="107" t="s">
        <v>6</v>
      </c>
      <c r="D27" s="118">
        <f t="shared" si="1"/>
        <v>289.16666666666663</v>
      </c>
      <c r="E27" s="118">
        <f t="shared" si="2"/>
        <v>57.833333333333343</v>
      </c>
      <c r="F27" s="118">
        <f t="shared" si="3"/>
        <v>347</v>
      </c>
      <c r="G27" s="118">
        <v>320</v>
      </c>
      <c r="H27" s="304">
        <f t="shared" si="0"/>
        <v>346.88</v>
      </c>
      <c r="I27" s="304">
        <f t="shared" si="4"/>
        <v>347</v>
      </c>
      <c r="J27" s="158"/>
      <c r="K27" s="158"/>
      <c r="L27" s="158"/>
      <c r="M27" s="158"/>
      <c r="N27" s="158"/>
      <c r="O27" s="158"/>
      <c r="P27" s="158"/>
      <c r="Q27" s="158"/>
      <c r="R27" s="158"/>
      <c r="S27" s="158"/>
      <c r="T27" s="158"/>
      <c r="U27" s="158"/>
      <c r="V27" s="158"/>
      <c r="W27" s="158"/>
      <c r="X27" s="158"/>
      <c r="Y27" s="158"/>
      <c r="Z27" s="158"/>
      <c r="AA27" s="158"/>
      <c r="AB27" s="158"/>
      <c r="AC27" s="158"/>
      <c r="AD27" s="158"/>
      <c r="AE27" s="158"/>
    </row>
    <row r="28" spans="1:31" s="14" customFormat="1" outlineLevel="1" x14ac:dyDescent="0.25">
      <c r="A28" s="23" t="s">
        <v>23</v>
      </c>
      <c r="B28" s="24" t="s">
        <v>394</v>
      </c>
      <c r="C28" s="107" t="s">
        <v>395</v>
      </c>
      <c r="D28" s="118">
        <f t="shared" si="1"/>
        <v>405.83333333333331</v>
      </c>
      <c r="E28" s="118">
        <f t="shared" si="2"/>
        <v>81.166666666666686</v>
      </c>
      <c r="F28" s="118">
        <f t="shared" si="3"/>
        <v>487</v>
      </c>
      <c r="G28" s="118">
        <v>449</v>
      </c>
      <c r="H28" s="304">
        <f t="shared" si="0"/>
        <v>486.71600000000001</v>
      </c>
      <c r="I28" s="304">
        <f t="shared" si="4"/>
        <v>487</v>
      </c>
      <c r="J28" s="158"/>
      <c r="K28" s="158"/>
      <c r="L28" s="158"/>
      <c r="M28" s="158"/>
      <c r="N28" s="158"/>
      <c r="O28" s="158"/>
      <c r="P28" s="158"/>
      <c r="Q28" s="158"/>
      <c r="R28" s="158"/>
      <c r="S28" s="158"/>
      <c r="T28" s="158"/>
      <c r="U28" s="158"/>
      <c r="V28" s="158"/>
      <c r="W28" s="158"/>
      <c r="X28" s="158"/>
      <c r="Y28" s="158"/>
      <c r="Z28" s="158"/>
      <c r="AA28" s="158"/>
      <c r="AB28" s="158"/>
      <c r="AC28" s="158"/>
      <c r="AD28" s="158"/>
      <c r="AE28" s="158"/>
    </row>
    <row r="29" spans="1:31" s="14" customFormat="1" ht="31.5" outlineLevel="1" x14ac:dyDescent="0.25">
      <c r="A29" s="23" t="s">
        <v>24</v>
      </c>
      <c r="B29" s="24" t="s">
        <v>396</v>
      </c>
      <c r="C29" s="107" t="s">
        <v>6</v>
      </c>
      <c r="D29" s="118">
        <f t="shared" si="1"/>
        <v>1004.1666666666666</v>
      </c>
      <c r="E29" s="118">
        <f t="shared" si="2"/>
        <v>200.83333333333337</v>
      </c>
      <c r="F29" s="118">
        <f t="shared" si="3"/>
        <v>1205</v>
      </c>
      <c r="G29" s="118">
        <v>1112</v>
      </c>
      <c r="H29" s="304">
        <f t="shared" si="0"/>
        <v>1205.4080000000001</v>
      </c>
      <c r="I29" s="304">
        <f t="shared" si="4"/>
        <v>1205</v>
      </c>
      <c r="J29" s="158"/>
      <c r="K29" s="158"/>
      <c r="L29" s="158"/>
      <c r="M29" s="158"/>
      <c r="N29" s="158"/>
      <c r="O29" s="158"/>
      <c r="P29" s="158"/>
      <c r="Q29" s="158"/>
      <c r="R29" s="158"/>
      <c r="S29" s="158"/>
      <c r="T29" s="158"/>
      <c r="U29" s="158"/>
      <c r="V29" s="158"/>
      <c r="W29" s="158"/>
      <c r="X29" s="158"/>
      <c r="Y29" s="158"/>
      <c r="Z29" s="158"/>
      <c r="AA29" s="158"/>
      <c r="AB29" s="158"/>
      <c r="AC29" s="158"/>
      <c r="AD29" s="158"/>
      <c r="AE29" s="158"/>
    </row>
    <row r="30" spans="1:31" s="14" customFormat="1" outlineLevel="1" x14ac:dyDescent="0.25">
      <c r="A30" s="23" t="s">
        <v>25</v>
      </c>
      <c r="B30" s="24" t="s">
        <v>362</v>
      </c>
      <c r="C30" s="107" t="s">
        <v>6</v>
      </c>
      <c r="D30" s="118">
        <f t="shared" si="1"/>
        <v>276.66666666666663</v>
      </c>
      <c r="E30" s="118">
        <f t="shared" si="2"/>
        <v>55.333333333333343</v>
      </c>
      <c r="F30" s="118">
        <f t="shared" si="3"/>
        <v>332</v>
      </c>
      <c r="G30" s="118">
        <v>306</v>
      </c>
      <c r="H30" s="304">
        <f t="shared" si="0"/>
        <v>331.70400000000001</v>
      </c>
      <c r="I30" s="304">
        <f t="shared" si="4"/>
        <v>332</v>
      </c>
      <c r="J30" s="158"/>
      <c r="K30" s="158"/>
      <c r="L30" s="158"/>
      <c r="M30" s="158"/>
      <c r="N30" s="158"/>
      <c r="O30" s="158"/>
      <c r="P30" s="158"/>
      <c r="Q30" s="158"/>
      <c r="R30" s="158"/>
      <c r="S30" s="158"/>
      <c r="T30" s="158"/>
      <c r="U30" s="158"/>
      <c r="V30" s="158"/>
      <c r="W30" s="158"/>
      <c r="X30" s="158"/>
      <c r="Y30" s="158"/>
      <c r="Z30" s="158"/>
      <c r="AA30" s="158"/>
      <c r="AB30" s="158"/>
      <c r="AC30" s="158"/>
      <c r="AD30" s="158"/>
      <c r="AE30" s="158"/>
    </row>
    <row r="31" spans="1:31" s="14" customFormat="1" ht="31.5" outlineLevel="1" x14ac:dyDescent="0.25">
      <c r="A31" s="23" t="s">
        <v>27</v>
      </c>
      <c r="B31" s="32" t="s">
        <v>397</v>
      </c>
      <c r="C31" s="107" t="s">
        <v>6</v>
      </c>
      <c r="D31" s="118">
        <f t="shared" si="1"/>
        <v>355.83333333333331</v>
      </c>
      <c r="E31" s="118">
        <f t="shared" si="2"/>
        <v>71.166666666666671</v>
      </c>
      <c r="F31" s="118">
        <f t="shared" si="3"/>
        <v>427</v>
      </c>
      <c r="G31" s="118">
        <v>394</v>
      </c>
      <c r="H31" s="304">
        <f t="shared" si="0"/>
        <v>427.096</v>
      </c>
      <c r="I31" s="304">
        <f t="shared" si="4"/>
        <v>427</v>
      </c>
      <c r="J31" s="158"/>
      <c r="K31" s="158"/>
      <c r="L31" s="158"/>
      <c r="M31" s="158"/>
      <c r="N31" s="158"/>
      <c r="O31" s="158"/>
      <c r="P31" s="158"/>
      <c r="Q31" s="158"/>
      <c r="R31" s="158"/>
      <c r="S31" s="158"/>
      <c r="T31" s="158"/>
      <c r="U31" s="158"/>
      <c r="V31" s="158"/>
      <c r="W31" s="158"/>
      <c r="X31" s="158"/>
      <c r="Y31" s="158"/>
      <c r="Z31" s="158"/>
      <c r="AA31" s="158"/>
      <c r="AB31" s="158"/>
      <c r="AC31" s="158"/>
      <c r="AD31" s="158"/>
      <c r="AE31" s="158"/>
    </row>
    <row r="32" spans="1:31" s="14" customFormat="1" outlineLevel="1" x14ac:dyDescent="0.25">
      <c r="A32" s="23" t="s">
        <v>29</v>
      </c>
      <c r="B32" s="32" t="s">
        <v>412</v>
      </c>
      <c r="C32" s="107" t="s">
        <v>6</v>
      </c>
      <c r="D32" s="118">
        <f t="shared" si="1"/>
        <v>1041.6666666666665</v>
      </c>
      <c r="E32" s="118">
        <f t="shared" si="2"/>
        <v>208.33333333333337</v>
      </c>
      <c r="F32" s="118">
        <f t="shared" si="3"/>
        <v>1250</v>
      </c>
      <c r="G32" s="118">
        <v>1153</v>
      </c>
      <c r="H32" s="304">
        <f t="shared" si="0"/>
        <v>1249.8520000000001</v>
      </c>
      <c r="I32" s="304">
        <f t="shared" si="4"/>
        <v>1250</v>
      </c>
      <c r="J32" s="158"/>
      <c r="K32" s="158"/>
      <c r="L32" s="158"/>
      <c r="M32" s="158"/>
      <c r="N32" s="158"/>
      <c r="O32" s="158"/>
      <c r="P32" s="158"/>
      <c r="Q32" s="158"/>
      <c r="R32" s="158"/>
      <c r="S32" s="158"/>
      <c r="T32" s="158"/>
      <c r="U32" s="158"/>
      <c r="V32" s="158"/>
      <c r="W32" s="158"/>
      <c r="X32" s="158"/>
      <c r="Y32" s="158"/>
      <c r="Z32" s="158"/>
      <c r="AA32" s="158"/>
      <c r="AB32" s="158"/>
      <c r="AC32" s="158"/>
      <c r="AD32" s="158"/>
      <c r="AE32" s="158"/>
    </row>
    <row r="33" spans="1:31" s="14" customFormat="1" outlineLevel="1" x14ac:dyDescent="0.25">
      <c r="A33" s="23" t="s">
        <v>151</v>
      </c>
      <c r="B33" s="32" t="s">
        <v>413</v>
      </c>
      <c r="C33" s="107" t="s">
        <v>6</v>
      </c>
      <c r="D33" s="118">
        <f t="shared" si="1"/>
        <v>1309.1666666666665</v>
      </c>
      <c r="E33" s="118">
        <f t="shared" si="2"/>
        <v>261.83333333333337</v>
      </c>
      <c r="F33" s="118">
        <f t="shared" si="3"/>
        <v>1571</v>
      </c>
      <c r="G33" s="118">
        <v>1449</v>
      </c>
      <c r="H33" s="304">
        <f t="shared" si="0"/>
        <v>1570.7160000000001</v>
      </c>
      <c r="I33" s="304">
        <f t="shared" si="4"/>
        <v>1571</v>
      </c>
      <c r="J33" s="158"/>
      <c r="K33" s="158"/>
      <c r="L33" s="158"/>
      <c r="M33" s="158"/>
      <c r="N33" s="158"/>
      <c r="O33" s="158"/>
      <c r="P33" s="158"/>
      <c r="Q33" s="158"/>
      <c r="R33" s="158"/>
      <c r="S33" s="158"/>
      <c r="T33" s="158"/>
      <c r="U33" s="158"/>
      <c r="V33" s="158"/>
      <c r="W33" s="158"/>
      <c r="X33" s="158"/>
      <c r="Y33" s="158"/>
      <c r="Z33" s="158"/>
      <c r="AA33" s="158"/>
      <c r="AB33" s="158"/>
      <c r="AC33" s="158"/>
      <c r="AD33" s="158"/>
      <c r="AE33" s="158"/>
    </row>
    <row r="34" spans="1:31" s="14" customFormat="1" ht="31.5" outlineLevel="1" x14ac:dyDescent="0.25">
      <c r="A34" s="23" t="s">
        <v>152</v>
      </c>
      <c r="B34" s="32" t="s">
        <v>410</v>
      </c>
      <c r="C34" s="107" t="s">
        <v>6</v>
      </c>
      <c r="D34" s="118">
        <f t="shared" si="1"/>
        <v>1290</v>
      </c>
      <c r="E34" s="118">
        <f t="shared" si="2"/>
        <v>258</v>
      </c>
      <c r="F34" s="118">
        <f t="shared" si="3"/>
        <v>1548</v>
      </c>
      <c r="G34" s="118">
        <v>1428</v>
      </c>
      <c r="H34" s="304">
        <f t="shared" si="0"/>
        <v>1547.952</v>
      </c>
      <c r="I34" s="304">
        <f t="shared" si="4"/>
        <v>1548</v>
      </c>
      <c r="J34" s="158"/>
      <c r="K34" s="158"/>
      <c r="L34" s="158"/>
      <c r="M34" s="158"/>
      <c r="N34" s="158"/>
      <c r="O34" s="158"/>
      <c r="P34" s="158"/>
      <c r="Q34" s="158"/>
      <c r="R34" s="158"/>
      <c r="S34" s="158"/>
      <c r="T34" s="158"/>
      <c r="U34" s="158"/>
      <c r="V34" s="158"/>
      <c r="W34" s="158"/>
      <c r="X34" s="158"/>
      <c r="Y34" s="158"/>
      <c r="Z34" s="158"/>
      <c r="AA34" s="158"/>
      <c r="AB34" s="158"/>
      <c r="AC34" s="158"/>
      <c r="AD34" s="158"/>
      <c r="AE34" s="158"/>
    </row>
    <row r="35" spans="1:31" s="14" customFormat="1" ht="31.5" outlineLevel="1" x14ac:dyDescent="0.25">
      <c r="A35" s="23" t="s">
        <v>153</v>
      </c>
      <c r="B35" s="32" t="s">
        <v>411</v>
      </c>
      <c r="C35" s="107" t="s">
        <v>6</v>
      </c>
      <c r="D35" s="118">
        <f t="shared" si="1"/>
        <v>1753.3333333333333</v>
      </c>
      <c r="E35" s="118">
        <f t="shared" si="2"/>
        <v>350.66666666666674</v>
      </c>
      <c r="F35" s="118">
        <f t="shared" si="3"/>
        <v>2104</v>
      </c>
      <c r="G35" s="118">
        <v>1941</v>
      </c>
      <c r="H35" s="304">
        <f t="shared" si="0"/>
        <v>2104.0440000000003</v>
      </c>
      <c r="I35" s="304">
        <f t="shared" si="4"/>
        <v>2104</v>
      </c>
      <c r="J35" s="158"/>
      <c r="K35" s="158"/>
      <c r="L35" s="158"/>
      <c r="M35" s="158"/>
      <c r="N35" s="158"/>
      <c r="O35" s="158"/>
      <c r="P35" s="158"/>
      <c r="Q35" s="158"/>
      <c r="R35" s="158"/>
      <c r="S35" s="158"/>
      <c r="T35" s="158"/>
      <c r="U35" s="158"/>
      <c r="V35" s="158"/>
      <c r="W35" s="158"/>
      <c r="X35" s="158"/>
      <c r="Y35" s="158"/>
      <c r="Z35" s="158"/>
      <c r="AA35" s="158"/>
      <c r="AB35" s="158"/>
      <c r="AC35" s="158"/>
      <c r="AD35" s="158"/>
      <c r="AE35" s="158"/>
    </row>
    <row r="36" spans="1:31" s="14" customFormat="1" outlineLevel="1" x14ac:dyDescent="0.25">
      <c r="A36" s="23" t="s">
        <v>448</v>
      </c>
      <c r="B36" s="64" t="s">
        <v>447</v>
      </c>
      <c r="C36" s="107" t="s">
        <v>6</v>
      </c>
      <c r="D36" s="118">
        <f t="shared" si="1"/>
        <v>579.16666666666663</v>
      </c>
      <c r="E36" s="118">
        <f t="shared" si="2"/>
        <v>115.83333333333336</v>
      </c>
      <c r="F36" s="118">
        <f t="shared" si="3"/>
        <v>695</v>
      </c>
      <c r="G36" s="118">
        <v>641</v>
      </c>
      <c r="H36" s="304">
        <f t="shared" si="0"/>
        <v>694.84400000000005</v>
      </c>
      <c r="I36" s="304">
        <f t="shared" si="4"/>
        <v>695</v>
      </c>
      <c r="J36" s="158"/>
      <c r="K36" s="158"/>
      <c r="L36" s="158"/>
      <c r="M36" s="158"/>
      <c r="N36" s="158"/>
      <c r="O36" s="158"/>
      <c r="P36" s="158"/>
      <c r="Q36" s="158"/>
      <c r="R36" s="158"/>
      <c r="S36" s="158"/>
      <c r="T36" s="158"/>
      <c r="U36" s="158"/>
      <c r="V36" s="158"/>
      <c r="W36" s="158"/>
      <c r="X36" s="158"/>
      <c r="Y36" s="158"/>
      <c r="Z36" s="158"/>
      <c r="AA36" s="158"/>
      <c r="AB36" s="158"/>
      <c r="AC36" s="158"/>
      <c r="AD36" s="158"/>
      <c r="AE36" s="158"/>
    </row>
    <row r="37" spans="1:31" s="14" customFormat="1" ht="39" customHeight="1" outlineLevel="1" x14ac:dyDescent="0.25">
      <c r="A37" s="269" t="s">
        <v>3238</v>
      </c>
      <c r="B37" s="32" t="s">
        <v>3239</v>
      </c>
      <c r="C37" s="264" t="s">
        <v>6</v>
      </c>
      <c r="D37" s="118">
        <f t="shared" si="1"/>
        <v>3445.833333333333</v>
      </c>
      <c r="E37" s="118">
        <f t="shared" si="2"/>
        <v>689.16666666666674</v>
      </c>
      <c r="F37" s="118">
        <f t="shared" si="3"/>
        <v>4135</v>
      </c>
      <c r="G37" s="118">
        <v>3815</v>
      </c>
      <c r="H37" s="304">
        <f t="shared" si="0"/>
        <v>4135.46</v>
      </c>
      <c r="I37" s="304">
        <f t="shared" si="4"/>
        <v>4135</v>
      </c>
      <c r="J37" s="158" t="s">
        <v>3226</v>
      </c>
      <c r="K37" s="158"/>
      <c r="L37" s="158"/>
      <c r="M37" s="158"/>
      <c r="N37" s="158"/>
      <c r="O37" s="158"/>
      <c r="P37" s="158"/>
      <c r="Q37" s="158"/>
      <c r="R37" s="158"/>
      <c r="S37" s="158"/>
      <c r="T37" s="158"/>
      <c r="U37" s="158"/>
      <c r="V37" s="158"/>
      <c r="W37" s="158"/>
      <c r="X37" s="158"/>
      <c r="Y37" s="158"/>
      <c r="Z37" s="158"/>
      <c r="AA37" s="158"/>
      <c r="AB37" s="158"/>
      <c r="AC37" s="158"/>
      <c r="AD37" s="158"/>
      <c r="AE37" s="158"/>
    </row>
    <row r="38" spans="1:31" s="14" customFormat="1" ht="27" customHeight="1" outlineLevel="1" x14ac:dyDescent="0.25">
      <c r="A38" s="23" t="s">
        <v>3253</v>
      </c>
      <c r="B38" s="32" t="s">
        <v>3254</v>
      </c>
      <c r="C38" s="277" t="s">
        <v>6</v>
      </c>
      <c r="D38" s="118">
        <f t="shared" si="1"/>
        <v>2533.333333333333</v>
      </c>
      <c r="E38" s="118">
        <f t="shared" si="2"/>
        <v>506.66666666666674</v>
      </c>
      <c r="F38" s="118">
        <f>G38</f>
        <v>3040</v>
      </c>
      <c r="G38" s="118">
        <v>3040</v>
      </c>
      <c r="H38" s="304">
        <f t="shared" si="0"/>
        <v>3295.36</v>
      </c>
      <c r="I38" s="304">
        <f t="shared" si="4"/>
        <v>3295</v>
      </c>
      <c r="J38" s="158"/>
      <c r="K38" s="158"/>
      <c r="L38" s="158" t="s">
        <v>3255</v>
      </c>
      <c r="M38" s="158"/>
      <c r="N38" s="158"/>
      <c r="O38" s="158"/>
      <c r="P38" s="158"/>
      <c r="Q38" s="158"/>
      <c r="R38" s="158"/>
      <c r="S38" s="158"/>
      <c r="T38" s="158"/>
      <c r="U38" s="158"/>
      <c r="V38" s="158"/>
      <c r="W38" s="158"/>
      <c r="X38" s="158"/>
      <c r="Y38" s="158"/>
      <c r="Z38" s="158"/>
      <c r="AA38" s="158"/>
      <c r="AB38" s="158"/>
      <c r="AC38" s="158"/>
      <c r="AD38" s="158"/>
      <c r="AE38" s="158"/>
    </row>
    <row r="39" spans="1:31" s="14" customFormat="1" ht="18.75" x14ac:dyDescent="0.3">
      <c r="A39" s="395" t="s">
        <v>307</v>
      </c>
      <c r="B39" s="396"/>
      <c r="C39" s="396"/>
      <c r="D39" s="396"/>
      <c r="E39" s="396"/>
      <c r="F39" s="396"/>
      <c r="G39" s="397"/>
      <c r="H39" s="305"/>
      <c r="I39" s="305"/>
      <c r="J39" s="158"/>
      <c r="K39" s="158"/>
      <c r="L39" s="158"/>
      <c r="M39" s="158"/>
      <c r="N39" s="158"/>
      <c r="O39" s="158"/>
      <c r="P39" s="158"/>
      <c r="Q39" s="158"/>
      <c r="R39" s="158"/>
      <c r="S39" s="158"/>
      <c r="T39" s="158"/>
      <c r="U39" s="158"/>
      <c r="V39" s="158"/>
      <c r="W39" s="158"/>
      <c r="X39" s="158"/>
      <c r="Y39" s="158"/>
      <c r="Z39" s="158"/>
      <c r="AA39" s="158"/>
      <c r="AB39" s="158"/>
      <c r="AC39" s="158"/>
      <c r="AD39" s="158"/>
      <c r="AE39" s="158"/>
    </row>
    <row r="40" spans="1:31" s="14" customFormat="1" outlineLevel="1" x14ac:dyDescent="0.25">
      <c r="A40" s="109" t="s">
        <v>30</v>
      </c>
      <c r="B40" s="34" t="s">
        <v>280</v>
      </c>
      <c r="C40" s="107" t="s">
        <v>6</v>
      </c>
      <c r="D40" s="118">
        <f t="shared" ref="D40" si="5">F40-E40</f>
        <v>2491.6666666666665</v>
      </c>
      <c r="E40" s="118">
        <f t="shared" si="2"/>
        <v>498.33333333333343</v>
      </c>
      <c r="F40" s="118">
        <f t="shared" ref="F40" si="6">I40</f>
        <v>2990</v>
      </c>
      <c r="G40" s="118">
        <v>2758</v>
      </c>
      <c r="H40" s="304">
        <f>G40*$H$8</f>
        <v>2989.672</v>
      </c>
      <c r="I40" s="304">
        <f t="shared" si="4"/>
        <v>2990</v>
      </c>
      <c r="J40" s="158"/>
      <c r="K40" s="158"/>
      <c r="L40" s="158"/>
      <c r="M40" s="158"/>
      <c r="N40" s="158"/>
      <c r="O40" s="158"/>
      <c r="P40" s="158"/>
      <c r="Q40" s="158"/>
      <c r="R40" s="158"/>
      <c r="S40" s="158"/>
      <c r="T40" s="158"/>
      <c r="U40" s="158"/>
      <c r="V40" s="158"/>
      <c r="W40" s="158"/>
      <c r="X40" s="158"/>
      <c r="Y40" s="158"/>
      <c r="Z40" s="158"/>
      <c r="AA40" s="158"/>
      <c r="AB40" s="158"/>
      <c r="AC40" s="158"/>
      <c r="AD40" s="158"/>
      <c r="AE40" s="158"/>
    </row>
    <row r="41" spans="1:31" s="14" customFormat="1" outlineLevel="1" x14ac:dyDescent="0.25">
      <c r="A41" s="109" t="s">
        <v>31</v>
      </c>
      <c r="B41" s="30" t="s">
        <v>281</v>
      </c>
      <c r="C41" s="107" t="s">
        <v>6</v>
      </c>
      <c r="D41" s="118">
        <f t="shared" ref="D41:D43" si="7">F41-E41</f>
        <v>2491.6666666666665</v>
      </c>
      <c r="E41" s="118">
        <f t="shared" si="2"/>
        <v>498.33333333333343</v>
      </c>
      <c r="F41" s="118">
        <f t="shared" ref="F41:F43" si="8">I41</f>
        <v>2990</v>
      </c>
      <c r="G41" s="118">
        <v>2758</v>
      </c>
      <c r="H41" s="304">
        <f t="shared" ref="H41:H105" si="9">G41*$H$8</f>
        <v>2989.672</v>
      </c>
      <c r="I41" s="304">
        <f t="shared" si="4"/>
        <v>2990</v>
      </c>
      <c r="J41" s="158"/>
      <c r="K41" s="158"/>
      <c r="L41" s="158"/>
      <c r="M41" s="158"/>
      <c r="N41" s="158"/>
      <c r="O41" s="158"/>
      <c r="P41" s="158"/>
      <c r="Q41" s="158"/>
      <c r="R41" s="158"/>
      <c r="S41" s="158"/>
      <c r="T41" s="158"/>
      <c r="U41" s="158"/>
      <c r="V41" s="158"/>
      <c r="W41" s="158"/>
      <c r="X41" s="158"/>
      <c r="Y41" s="158"/>
      <c r="Z41" s="158"/>
      <c r="AA41" s="158"/>
      <c r="AB41" s="158"/>
      <c r="AC41" s="158"/>
      <c r="AD41" s="158"/>
      <c r="AE41" s="158"/>
    </row>
    <row r="42" spans="1:31" s="14" customFormat="1" outlineLevel="1" x14ac:dyDescent="0.25">
      <c r="A42" s="109" t="s">
        <v>32</v>
      </c>
      <c r="B42" s="30" t="s">
        <v>282</v>
      </c>
      <c r="C42" s="107" t="s">
        <v>6</v>
      </c>
      <c r="D42" s="118">
        <f t="shared" si="7"/>
        <v>2458.333333333333</v>
      </c>
      <c r="E42" s="118">
        <f t="shared" si="2"/>
        <v>491.66666666666674</v>
      </c>
      <c r="F42" s="118">
        <f t="shared" si="8"/>
        <v>2950</v>
      </c>
      <c r="G42" s="118">
        <v>2721</v>
      </c>
      <c r="H42" s="304">
        <f t="shared" si="9"/>
        <v>2949.5640000000003</v>
      </c>
      <c r="I42" s="304">
        <f t="shared" si="4"/>
        <v>2950</v>
      </c>
      <c r="J42" s="158"/>
      <c r="K42" s="158"/>
      <c r="L42" s="158"/>
      <c r="M42" s="158"/>
      <c r="N42" s="158"/>
      <c r="O42" s="158"/>
      <c r="P42" s="158"/>
      <c r="Q42" s="158"/>
      <c r="R42" s="158"/>
      <c r="S42" s="158"/>
      <c r="T42" s="158"/>
      <c r="U42" s="158"/>
      <c r="V42" s="158"/>
      <c r="W42" s="158"/>
      <c r="X42" s="158"/>
      <c r="Y42" s="158"/>
      <c r="Z42" s="158"/>
      <c r="AA42" s="158"/>
      <c r="AB42" s="158"/>
      <c r="AC42" s="158"/>
      <c r="AD42" s="158"/>
      <c r="AE42" s="158"/>
    </row>
    <row r="43" spans="1:31" s="14" customFormat="1" outlineLevel="1" x14ac:dyDescent="0.25">
      <c r="A43" s="109" t="s">
        <v>33</v>
      </c>
      <c r="B43" s="35" t="s">
        <v>382</v>
      </c>
      <c r="C43" s="107" t="s">
        <v>6</v>
      </c>
      <c r="D43" s="118">
        <f t="shared" si="7"/>
        <v>636.66666666666663</v>
      </c>
      <c r="E43" s="118">
        <f t="shared" si="2"/>
        <v>127.33333333333336</v>
      </c>
      <c r="F43" s="118">
        <f t="shared" si="8"/>
        <v>764</v>
      </c>
      <c r="G43" s="118">
        <v>705</v>
      </c>
      <c r="H43" s="304">
        <f t="shared" si="9"/>
        <v>764.22</v>
      </c>
      <c r="I43" s="304">
        <f t="shared" si="4"/>
        <v>764</v>
      </c>
      <c r="J43" s="158"/>
      <c r="K43" s="158"/>
      <c r="L43" s="158"/>
      <c r="M43" s="158"/>
      <c r="N43" s="158"/>
      <c r="O43" s="158"/>
      <c r="P43" s="158"/>
      <c r="Q43" s="158"/>
      <c r="R43" s="158"/>
      <c r="S43" s="158"/>
      <c r="T43" s="158"/>
      <c r="U43" s="158"/>
      <c r="V43" s="158"/>
      <c r="W43" s="158"/>
      <c r="X43" s="158"/>
      <c r="Y43" s="158"/>
      <c r="Z43" s="158"/>
      <c r="AA43" s="158"/>
      <c r="AB43" s="158"/>
      <c r="AC43" s="158"/>
      <c r="AD43" s="158"/>
      <c r="AE43" s="158"/>
    </row>
    <row r="44" spans="1:31" s="14" customFormat="1" ht="18.75" x14ac:dyDescent="0.25">
      <c r="A44" s="398" t="s">
        <v>308</v>
      </c>
      <c r="B44" s="399"/>
      <c r="C44" s="399"/>
      <c r="D44" s="399"/>
      <c r="E44" s="399"/>
      <c r="F44" s="399"/>
      <c r="G44" s="400"/>
      <c r="H44" s="306"/>
      <c r="I44" s="306"/>
      <c r="J44" s="158"/>
      <c r="K44" s="158"/>
      <c r="L44" s="158"/>
      <c r="M44" s="158"/>
      <c r="N44" s="158"/>
      <c r="O44" s="158"/>
      <c r="P44" s="158"/>
      <c r="Q44" s="158"/>
      <c r="R44" s="158"/>
      <c r="S44" s="158"/>
      <c r="T44" s="158"/>
      <c r="U44" s="158"/>
      <c r="V44" s="158"/>
      <c r="W44" s="158"/>
      <c r="X44" s="158"/>
      <c r="Y44" s="158"/>
      <c r="Z44" s="158"/>
      <c r="AA44" s="158"/>
      <c r="AB44" s="158"/>
      <c r="AC44" s="158"/>
      <c r="AD44" s="158"/>
      <c r="AE44" s="158"/>
    </row>
    <row r="45" spans="1:31" s="14" customFormat="1" outlineLevel="1" x14ac:dyDescent="0.25">
      <c r="A45" s="36" t="s">
        <v>235</v>
      </c>
      <c r="B45" s="37" t="s">
        <v>1653</v>
      </c>
      <c r="C45" s="107" t="s">
        <v>6</v>
      </c>
      <c r="D45" s="118">
        <f t="shared" ref="D45:D61" si="10">F45-E45</f>
        <v>75</v>
      </c>
      <c r="E45" s="118">
        <f t="shared" si="2"/>
        <v>15</v>
      </c>
      <c r="F45" s="118">
        <f t="shared" ref="F45:F61" si="11">I45</f>
        <v>90</v>
      </c>
      <c r="G45" s="118">
        <v>83</v>
      </c>
      <c r="H45" s="304">
        <f t="shared" si="9"/>
        <v>89.972000000000008</v>
      </c>
      <c r="I45" s="304">
        <f t="shared" si="4"/>
        <v>90</v>
      </c>
      <c r="J45" s="158"/>
      <c r="K45" s="158"/>
      <c r="L45" s="158"/>
      <c r="M45" s="158"/>
      <c r="N45" s="158"/>
      <c r="O45" s="158"/>
      <c r="P45" s="158"/>
      <c r="Q45" s="158"/>
      <c r="R45" s="158"/>
      <c r="S45" s="158"/>
      <c r="T45" s="158"/>
      <c r="U45" s="158"/>
      <c r="V45" s="158"/>
      <c r="W45" s="158"/>
      <c r="X45" s="158"/>
      <c r="Y45" s="158"/>
      <c r="Z45" s="158"/>
      <c r="AA45" s="158"/>
      <c r="AB45" s="158"/>
      <c r="AC45" s="158"/>
      <c r="AD45" s="158"/>
      <c r="AE45" s="158"/>
    </row>
    <row r="46" spans="1:31" s="14" customFormat="1" outlineLevel="1" x14ac:dyDescent="0.25">
      <c r="A46" s="36" t="s">
        <v>39</v>
      </c>
      <c r="B46" s="24" t="s">
        <v>225</v>
      </c>
      <c r="C46" s="107" t="s">
        <v>6</v>
      </c>
      <c r="D46" s="118">
        <f t="shared" si="10"/>
        <v>278.33333333333331</v>
      </c>
      <c r="E46" s="118">
        <f t="shared" si="2"/>
        <v>55.666666666666679</v>
      </c>
      <c r="F46" s="118">
        <f t="shared" si="11"/>
        <v>334</v>
      </c>
      <c r="G46" s="118">
        <v>308</v>
      </c>
      <c r="H46" s="304">
        <f t="shared" si="9"/>
        <v>333.87200000000001</v>
      </c>
      <c r="I46" s="304">
        <f t="shared" si="4"/>
        <v>334</v>
      </c>
      <c r="J46" s="158"/>
      <c r="K46" s="158"/>
      <c r="L46" s="158"/>
      <c r="M46" s="158"/>
      <c r="N46" s="158"/>
      <c r="O46" s="158"/>
      <c r="P46" s="158"/>
      <c r="Q46" s="158"/>
      <c r="R46" s="158"/>
      <c r="S46" s="158"/>
      <c r="T46" s="158"/>
      <c r="U46" s="158"/>
      <c r="V46" s="158"/>
      <c r="W46" s="158"/>
      <c r="X46" s="158"/>
      <c r="Y46" s="158"/>
      <c r="Z46" s="158"/>
      <c r="AA46" s="158"/>
      <c r="AB46" s="158"/>
      <c r="AC46" s="158"/>
      <c r="AD46" s="158"/>
      <c r="AE46" s="158"/>
    </row>
    <row r="47" spans="1:31" s="14" customFormat="1" outlineLevel="1" x14ac:dyDescent="0.25">
      <c r="A47" s="36" t="s">
        <v>41</v>
      </c>
      <c r="B47" s="24" t="s">
        <v>226</v>
      </c>
      <c r="C47" s="107" t="s">
        <v>6</v>
      </c>
      <c r="D47" s="118">
        <f t="shared" si="10"/>
        <v>278.33333333333331</v>
      </c>
      <c r="E47" s="118">
        <f t="shared" si="2"/>
        <v>55.666666666666679</v>
      </c>
      <c r="F47" s="118">
        <f t="shared" si="11"/>
        <v>334</v>
      </c>
      <c r="G47" s="118">
        <v>308</v>
      </c>
      <c r="H47" s="304">
        <f t="shared" si="9"/>
        <v>333.87200000000001</v>
      </c>
      <c r="I47" s="304">
        <f t="shared" si="4"/>
        <v>334</v>
      </c>
      <c r="J47" s="158"/>
      <c r="K47" s="158"/>
      <c r="L47" s="158"/>
      <c r="M47" s="158"/>
      <c r="N47" s="158"/>
      <c r="O47" s="158"/>
      <c r="P47" s="158"/>
      <c r="Q47" s="158"/>
      <c r="R47" s="158"/>
      <c r="S47" s="158"/>
      <c r="T47" s="158"/>
      <c r="U47" s="158"/>
      <c r="V47" s="158"/>
      <c r="W47" s="158"/>
      <c r="X47" s="158"/>
      <c r="Y47" s="158"/>
      <c r="Z47" s="158"/>
      <c r="AA47" s="158"/>
      <c r="AB47" s="158"/>
      <c r="AC47" s="158"/>
      <c r="AD47" s="158"/>
      <c r="AE47" s="158"/>
    </row>
    <row r="48" spans="1:31" s="14" customFormat="1" outlineLevel="1" x14ac:dyDescent="0.25">
      <c r="A48" s="36" t="s">
        <v>236</v>
      </c>
      <c r="B48" s="24" t="s">
        <v>34</v>
      </c>
      <c r="C48" s="107" t="s">
        <v>6</v>
      </c>
      <c r="D48" s="118">
        <f t="shared" si="10"/>
        <v>224.16666666666666</v>
      </c>
      <c r="E48" s="118">
        <f t="shared" si="2"/>
        <v>44.833333333333343</v>
      </c>
      <c r="F48" s="118">
        <f t="shared" si="11"/>
        <v>269</v>
      </c>
      <c r="G48" s="118">
        <v>248</v>
      </c>
      <c r="H48" s="304">
        <f t="shared" si="9"/>
        <v>268.83199999999999</v>
      </c>
      <c r="I48" s="304">
        <f t="shared" si="4"/>
        <v>269</v>
      </c>
      <c r="J48" s="158"/>
      <c r="K48" s="158"/>
      <c r="L48" s="158"/>
      <c r="M48" s="158"/>
      <c r="N48" s="158"/>
      <c r="O48" s="158"/>
      <c r="P48" s="158"/>
      <c r="Q48" s="158"/>
      <c r="R48" s="158"/>
      <c r="S48" s="158"/>
      <c r="T48" s="158"/>
      <c r="U48" s="158"/>
      <c r="V48" s="158"/>
      <c r="W48" s="158"/>
      <c r="X48" s="158"/>
      <c r="Y48" s="158"/>
      <c r="Z48" s="158"/>
      <c r="AA48" s="158"/>
      <c r="AB48" s="158"/>
      <c r="AC48" s="158"/>
      <c r="AD48" s="158"/>
      <c r="AE48" s="158"/>
    </row>
    <row r="49" spans="1:31" s="14" customFormat="1" outlineLevel="1" x14ac:dyDescent="0.25">
      <c r="A49" s="36" t="s">
        <v>44</v>
      </c>
      <c r="B49" s="24" t="s">
        <v>35</v>
      </c>
      <c r="C49" s="107" t="s">
        <v>6</v>
      </c>
      <c r="D49" s="118">
        <f t="shared" si="10"/>
        <v>250.83333333333331</v>
      </c>
      <c r="E49" s="118">
        <f t="shared" si="2"/>
        <v>50.166666666666671</v>
      </c>
      <c r="F49" s="118">
        <f t="shared" si="11"/>
        <v>301</v>
      </c>
      <c r="G49" s="118">
        <v>278</v>
      </c>
      <c r="H49" s="304">
        <f t="shared" si="9"/>
        <v>301.35200000000003</v>
      </c>
      <c r="I49" s="304">
        <f t="shared" si="4"/>
        <v>301</v>
      </c>
      <c r="J49" s="158"/>
      <c r="K49" s="158"/>
      <c r="L49" s="158"/>
      <c r="M49" s="158"/>
      <c r="N49" s="158"/>
      <c r="O49" s="158"/>
      <c r="P49" s="158"/>
      <c r="Q49" s="158"/>
      <c r="R49" s="158"/>
      <c r="S49" s="158"/>
      <c r="T49" s="158"/>
      <c r="U49" s="158"/>
      <c r="V49" s="158"/>
      <c r="W49" s="158"/>
      <c r="X49" s="158"/>
      <c r="Y49" s="158"/>
      <c r="Z49" s="158"/>
      <c r="AA49" s="158"/>
      <c r="AB49" s="158"/>
      <c r="AC49" s="158"/>
      <c r="AD49" s="158"/>
      <c r="AE49" s="158"/>
    </row>
    <row r="50" spans="1:31" s="14" customFormat="1" outlineLevel="1" x14ac:dyDescent="0.25">
      <c r="A50" s="36" t="s">
        <v>46</v>
      </c>
      <c r="B50" s="24" t="s">
        <v>1599</v>
      </c>
      <c r="C50" s="107" t="s">
        <v>6</v>
      </c>
      <c r="D50" s="118">
        <f t="shared" si="10"/>
        <v>173.33333333333331</v>
      </c>
      <c r="E50" s="118">
        <f t="shared" si="2"/>
        <v>34.666666666666671</v>
      </c>
      <c r="F50" s="118">
        <f t="shared" si="11"/>
        <v>208</v>
      </c>
      <c r="G50" s="118">
        <v>192</v>
      </c>
      <c r="H50" s="304">
        <f t="shared" si="9"/>
        <v>208.12800000000001</v>
      </c>
      <c r="I50" s="304">
        <f t="shared" si="4"/>
        <v>208</v>
      </c>
      <c r="J50" s="158"/>
      <c r="K50" s="158"/>
      <c r="L50" s="158"/>
      <c r="M50" s="158"/>
      <c r="N50" s="158"/>
      <c r="O50" s="158"/>
      <c r="P50" s="158"/>
      <c r="Q50" s="158"/>
      <c r="R50" s="158"/>
      <c r="S50" s="158"/>
      <c r="T50" s="158"/>
      <c r="U50" s="158"/>
      <c r="V50" s="158"/>
      <c r="W50" s="158"/>
      <c r="X50" s="158"/>
      <c r="Y50" s="158"/>
      <c r="Z50" s="158"/>
      <c r="AA50" s="158"/>
      <c r="AB50" s="158"/>
      <c r="AC50" s="158"/>
      <c r="AD50" s="158"/>
      <c r="AE50" s="158"/>
    </row>
    <row r="51" spans="1:31" s="14" customFormat="1" outlineLevel="1" x14ac:dyDescent="0.25">
      <c r="A51" s="36" t="s">
        <v>264</v>
      </c>
      <c r="B51" s="24" t="s">
        <v>373</v>
      </c>
      <c r="C51" s="107" t="s">
        <v>6</v>
      </c>
      <c r="D51" s="118">
        <f t="shared" si="10"/>
        <v>183.33333333333331</v>
      </c>
      <c r="E51" s="118">
        <f t="shared" si="2"/>
        <v>36.666666666666671</v>
      </c>
      <c r="F51" s="118">
        <f t="shared" si="11"/>
        <v>220</v>
      </c>
      <c r="G51" s="118">
        <v>203</v>
      </c>
      <c r="H51" s="304">
        <f t="shared" si="9"/>
        <v>220.05200000000002</v>
      </c>
      <c r="I51" s="304">
        <f t="shared" si="4"/>
        <v>220</v>
      </c>
      <c r="J51" s="158"/>
      <c r="K51" s="158"/>
      <c r="L51" s="158"/>
      <c r="M51" s="158"/>
      <c r="N51" s="158"/>
      <c r="O51" s="158"/>
      <c r="P51" s="158"/>
      <c r="Q51" s="158"/>
      <c r="R51" s="158"/>
      <c r="S51" s="158"/>
      <c r="T51" s="158"/>
      <c r="U51" s="158"/>
      <c r="V51" s="158"/>
      <c r="W51" s="158"/>
      <c r="X51" s="158"/>
      <c r="Y51" s="158"/>
      <c r="Z51" s="158"/>
      <c r="AA51" s="158"/>
      <c r="AB51" s="158"/>
      <c r="AC51" s="158"/>
      <c r="AD51" s="158"/>
      <c r="AE51" s="158"/>
    </row>
    <row r="52" spans="1:31" s="14" customFormat="1" outlineLevel="1" x14ac:dyDescent="0.25">
      <c r="A52" s="36" t="s">
        <v>309</v>
      </c>
      <c r="B52" s="24" t="s">
        <v>227</v>
      </c>
      <c r="C52" s="107" t="s">
        <v>6</v>
      </c>
      <c r="D52" s="118">
        <f t="shared" si="10"/>
        <v>182.5</v>
      </c>
      <c r="E52" s="118">
        <f t="shared" si="2"/>
        <v>36.5</v>
      </c>
      <c r="F52" s="118">
        <f t="shared" si="11"/>
        <v>219</v>
      </c>
      <c r="G52" s="118">
        <v>202</v>
      </c>
      <c r="H52" s="304">
        <f t="shared" si="9"/>
        <v>218.96800000000002</v>
      </c>
      <c r="I52" s="304">
        <f t="shared" si="4"/>
        <v>219</v>
      </c>
      <c r="J52" s="158"/>
      <c r="K52" s="158"/>
      <c r="L52" s="158"/>
      <c r="M52" s="158"/>
      <c r="N52" s="158"/>
      <c r="O52" s="158"/>
      <c r="P52" s="158"/>
      <c r="Q52" s="158"/>
      <c r="R52" s="158"/>
      <c r="S52" s="158"/>
      <c r="T52" s="158"/>
      <c r="U52" s="158"/>
      <c r="V52" s="158"/>
      <c r="W52" s="158"/>
      <c r="X52" s="158"/>
      <c r="Y52" s="158"/>
      <c r="Z52" s="158"/>
      <c r="AA52" s="158"/>
      <c r="AB52" s="158"/>
      <c r="AC52" s="158"/>
      <c r="AD52" s="158"/>
      <c r="AE52" s="158"/>
    </row>
    <row r="53" spans="1:31" s="14" customFormat="1" outlineLevel="1" x14ac:dyDescent="0.25">
      <c r="A53" s="36" t="s">
        <v>310</v>
      </c>
      <c r="B53" s="24" t="s">
        <v>398</v>
      </c>
      <c r="C53" s="107" t="s">
        <v>6</v>
      </c>
      <c r="D53" s="118">
        <f t="shared" si="10"/>
        <v>217.5</v>
      </c>
      <c r="E53" s="118">
        <f t="shared" si="2"/>
        <v>43.5</v>
      </c>
      <c r="F53" s="118">
        <f t="shared" si="11"/>
        <v>261</v>
      </c>
      <c r="G53" s="118">
        <v>241</v>
      </c>
      <c r="H53" s="304">
        <f t="shared" si="9"/>
        <v>261.24400000000003</v>
      </c>
      <c r="I53" s="304">
        <f t="shared" si="4"/>
        <v>261</v>
      </c>
      <c r="J53" s="158"/>
      <c r="K53" s="158"/>
      <c r="L53" s="158"/>
      <c r="M53" s="158"/>
      <c r="N53" s="158"/>
      <c r="O53" s="158"/>
      <c r="P53" s="158"/>
      <c r="Q53" s="158"/>
      <c r="R53" s="158"/>
      <c r="S53" s="158"/>
      <c r="T53" s="158"/>
      <c r="U53" s="158"/>
      <c r="V53" s="158"/>
      <c r="W53" s="158"/>
      <c r="X53" s="158"/>
      <c r="Y53" s="158"/>
      <c r="Z53" s="158"/>
      <c r="AA53" s="158"/>
      <c r="AB53" s="158"/>
      <c r="AC53" s="158"/>
      <c r="AD53" s="158"/>
      <c r="AE53" s="158"/>
    </row>
    <row r="54" spans="1:31" s="14" customFormat="1" outlineLevel="1" x14ac:dyDescent="0.25">
      <c r="A54" s="36" t="s">
        <v>311</v>
      </c>
      <c r="B54" s="24" t="s">
        <v>399</v>
      </c>
      <c r="C54" s="107" t="s">
        <v>6</v>
      </c>
      <c r="D54" s="118">
        <f t="shared" si="10"/>
        <v>218.33333333333331</v>
      </c>
      <c r="E54" s="118">
        <f t="shared" si="2"/>
        <v>43.666666666666671</v>
      </c>
      <c r="F54" s="118">
        <f t="shared" si="11"/>
        <v>262</v>
      </c>
      <c r="G54" s="118">
        <v>242</v>
      </c>
      <c r="H54" s="304">
        <f t="shared" si="9"/>
        <v>262.32800000000003</v>
      </c>
      <c r="I54" s="304">
        <f t="shared" si="4"/>
        <v>262</v>
      </c>
      <c r="J54" s="158"/>
      <c r="K54" s="158"/>
      <c r="L54" s="158"/>
      <c r="M54" s="158"/>
      <c r="N54" s="158"/>
      <c r="O54" s="158"/>
      <c r="P54" s="158"/>
      <c r="Q54" s="158"/>
      <c r="R54" s="158"/>
      <c r="S54" s="158"/>
      <c r="T54" s="158"/>
      <c r="U54" s="158"/>
      <c r="V54" s="158"/>
      <c r="W54" s="158"/>
      <c r="X54" s="158"/>
      <c r="Y54" s="158"/>
      <c r="Z54" s="158"/>
      <c r="AA54" s="158"/>
      <c r="AB54" s="158"/>
      <c r="AC54" s="158"/>
      <c r="AD54" s="158"/>
      <c r="AE54" s="158"/>
    </row>
    <row r="55" spans="1:31" s="14" customFormat="1" outlineLevel="1" x14ac:dyDescent="0.25">
      <c r="A55" s="36" t="s">
        <v>312</v>
      </c>
      <c r="B55" s="24" t="s">
        <v>400</v>
      </c>
      <c r="C55" s="107" t="s">
        <v>6</v>
      </c>
      <c r="D55" s="118">
        <f t="shared" si="10"/>
        <v>193.33333333333331</v>
      </c>
      <c r="E55" s="118">
        <f t="shared" si="2"/>
        <v>38.666666666666671</v>
      </c>
      <c r="F55" s="118">
        <f t="shared" si="11"/>
        <v>232</v>
      </c>
      <c r="G55" s="118">
        <v>214</v>
      </c>
      <c r="H55" s="304">
        <f t="shared" si="9"/>
        <v>231.97600000000003</v>
      </c>
      <c r="I55" s="304">
        <f t="shared" si="4"/>
        <v>232</v>
      </c>
      <c r="J55" s="158"/>
      <c r="K55" s="158"/>
      <c r="L55" s="158"/>
      <c r="M55" s="158"/>
      <c r="N55" s="158"/>
      <c r="O55" s="158"/>
      <c r="P55" s="158"/>
      <c r="Q55" s="158"/>
      <c r="R55" s="158"/>
      <c r="S55" s="158"/>
      <c r="T55" s="158"/>
      <c r="U55" s="158"/>
      <c r="V55" s="158"/>
      <c r="W55" s="158"/>
      <c r="X55" s="158"/>
      <c r="Y55" s="158"/>
      <c r="Z55" s="158"/>
      <c r="AA55" s="158"/>
      <c r="AB55" s="158"/>
      <c r="AC55" s="158"/>
      <c r="AD55" s="158"/>
      <c r="AE55" s="158"/>
    </row>
    <row r="56" spans="1:31" s="14" customFormat="1" outlineLevel="1" x14ac:dyDescent="0.25">
      <c r="A56" s="36" t="s">
        <v>313</v>
      </c>
      <c r="B56" s="24" t="s">
        <v>401</v>
      </c>
      <c r="C56" s="107" t="s">
        <v>6</v>
      </c>
      <c r="D56" s="118">
        <f t="shared" si="10"/>
        <v>278.33333333333331</v>
      </c>
      <c r="E56" s="118">
        <f t="shared" si="2"/>
        <v>55.666666666666679</v>
      </c>
      <c r="F56" s="118">
        <f t="shared" si="11"/>
        <v>334</v>
      </c>
      <c r="G56" s="118">
        <v>308</v>
      </c>
      <c r="H56" s="304">
        <f t="shared" si="9"/>
        <v>333.87200000000001</v>
      </c>
      <c r="I56" s="304">
        <f t="shared" si="4"/>
        <v>334</v>
      </c>
      <c r="J56" s="158"/>
      <c r="K56" s="158"/>
      <c r="L56" s="158"/>
      <c r="M56" s="158"/>
      <c r="N56" s="158"/>
      <c r="O56" s="158"/>
      <c r="P56" s="158"/>
      <c r="Q56" s="158"/>
      <c r="R56" s="158"/>
      <c r="S56" s="158"/>
      <c r="T56" s="158"/>
      <c r="U56" s="158"/>
      <c r="V56" s="158"/>
      <c r="W56" s="158"/>
      <c r="X56" s="158"/>
      <c r="Y56" s="158"/>
      <c r="Z56" s="158"/>
      <c r="AA56" s="158"/>
      <c r="AB56" s="158"/>
      <c r="AC56" s="158"/>
      <c r="AD56" s="158"/>
      <c r="AE56" s="158"/>
    </row>
    <row r="57" spans="1:31" s="14" customFormat="1" outlineLevel="1" x14ac:dyDescent="0.25">
      <c r="A57" s="36" t="s">
        <v>314</v>
      </c>
      <c r="B57" s="24" t="s">
        <v>36</v>
      </c>
      <c r="C57" s="107" t="s">
        <v>6</v>
      </c>
      <c r="D57" s="118">
        <f t="shared" si="10"/>
        <v>236.66666666666666</v>
      </c>
      <c r="E57" s="118">
        <f t="shared" si="2"/>
        <v>47.333333333333343</v>
      </c>
      <c r="F57" s="118">
        <f t="shared" si="11"/>
        <v>284</v>
      </c>
      <c r="G57" s="118">
        <v>262</v>
      </c>
      <c r="H57" s="304">
        <f t="shared" si="9"/>
        <v>284.00800000000004</v>
      </c>
      <c r="I57" s="304">
        <f t="shared" si="4"/>
        <v>284</v>
      </c>
      <c r="J57" s="158"/>
      <c r="K57" s="158"/>
      <c r="L57" s="158"/>
      <c r="M57" s="158"/>
      <c r="N57" s="158"/>
      <c r="O57" s="158"/>
      <c r="P57" s="158"/>
      <c r="Q57" s="158"/>
      <c r="R57" s="158"/>
      <c r="S57" s="158"/>
      <c r="T57" s="158"/>
      <c r="U57" s="158"/>
      <c r="V57" s="158"/>
      <c r="W57" s="158"/>
      <c r="X57" s="158"/>
      <c r="Y57" s="158"/>
      <c r="Z57" s="158"/>
      <c r="AA57" s="158"/>
      <c r="AB57" s="158"/>
      <c r="AC57" s="158"/>
      <c r="AD57" s="158"/>
      <c r="AE57" s="158"/>
    </row>
    <row r="58" spans="1:31" s="14" customFormat="1" outlineLevel="1" x14ac:dyDescent="0.25">
      <c r="A58" s="36" t="s">
        <v>315</v>
      </c>
      <c r="B58" s="24" t="s">
        <v>402</v>
      </c>
      <c r="C58" s="107" t="s">
        <v>6</v>
      </c>
      <c r="D58" s="118">
        <f t="shared" si="10"/>
        <v>205</v>
      </c>
      <c r="E58" s="118">
        <f t="shared" si="2"/>
        <v>41</v>
      </c>
      <c r="F58" s="118">
        <f t="shared" si="11"/>
        <v>246</v>
      </c>
      <c r="G58" s="118">
        <v>227</v>
      </c>
      <c r="H58" s="304">
        <f t="shared" si="9"/>
        <v>246.06800000000001</v>
      </c>
      <c r="I58" s="304">
        <f t="shared" si="4"/>
        <v>246</v>
      </c>
      <c r="J58" s="158"/>
      <c r="K58" s="158"/>
      <c r="L58" s="158"/>
      <c r="M58" s="158"/>
      <c r="N58" s="158"/>
      <c r="O58" s="158"/>
      <c r="P58" s="158"/>
      <c r="Q58" s="158"/>
      <c r="R58" s="158"/>
      <c r="S58" s="158"/>
      <c r="T58" s="158"/>
      <c r="U58" s="158"/>
      <c r="V58" s="158"/>
      <c r="W58" s="158"/>
      <c r="X58" s="158"/>
      <c r="Y58" s="158"/>
      <c r="Z58" s="158"/>
      <c r="AA58" s="158"/>
      <c r="AB58" s="158"/>
      <c r="AC58" s="158"/>
      <c r="AD58" s="158"/>
      <c r="AE58" s="158"/>
    </row>
    <row r="59" spans="1:31" s="14" customFormat="1" outlineLevel="1" x14ac:dyDescent="0.25">
      <c r="A59" s="36" t="s">
        <v>316</v>
      </c>
      <c r="B59" s="38" t="s">
        <v>383</v>
      </c>
      <c r="C59" s="107" t="s">
        <v>6</v>
      </c>
      <c r="D59" s="118">
        <f t="shared" si="10"/>
        <v>219.16666666666666</v>
      </c>
      <c r="E59" s="118">
        <f t="shared" si="2"/>
        <v>43.833333333333343</v>
      </c>
      <c r="F59" s="118">
        <f t="shared" si="11"/>
        <v>263</v>
      </c>
      <c r="G59" s="118">
        <v>243</v>
      </c>
      <c r="H59" s="304">
        <f t="shared" si="9"/>
        <v>263.41200000000003</v>
      </c>
      <c r="I59" s="304">
        <f t="shared" si="4"/>
        <v>263</v>
      </c>
      <c r="J59" s="158"/>
      <c r="K59" s="158"/>
      <c r="L59" s="158"/>
      <c r="M59" s="158"/>
      <c r="N59" s="158"/>
      <c r="O59" s="158"/>
      <c r="P59" s="158"/>
      <c r="Q59" s="158"/>
      <c r="R59" s="158"/>
      <c r="S59" s="158"/>
      <c r="T59" s="158"/>
      <c r="U59" s="158"/>
      <c r="V59" s="158"/>
      <c r="W59" s="158"/>
      <c r="X59" s="158"/>
      <c r="Y59" s="158"/>
      <c r="Z59" s="158"/>
      <c r="AA59" s="158"/>
      <c r="AB59" s="158"/>
      <c r="AC59" s="158"/>
      <c r="AD59" s="158"/>
      <c r="AE59" s="158"/>
    </row>
    <row r="60" spans="1:31" s="14" customFormat="1" outlineLevel="1" x14ac:dyDescent="0.25">
      <c r="A60" s="36" t="s">
        <v>1600</v>
      </c>
      <c r="B60" s="38" t="s">
        <v>1601</v>
      </c>
      <c r="C60" s="179" t="s">
        <v>6</v>
      </c>
      <c r="D60" s="118">
        <f t="shared" si="10"/>
        <v>140.83333333333331</v>
      </c>
      <c r="E60" s="118">
        <f t="shared" si="2"/>
        <v>28.166666666666671</v>
      </c>
      <c r="F60" s="118">
        <f t="shared" si="11"/>
        <v>169</v>
      </c>
      <c r="G60" s="118">
        <v>156</v>
      </c>
      <c r="H60" s="304">
        <f t="shared" si="9"/>
        <v>169.10400000000001</v>
      </c>
      <c r="I60" s="304">
        <f t="shared" si="4"/>
        <v>169</v>
      </c>
      <c r="J60" s="158"/>
      <c r="K60" s="158"/>
      <c r="L60" s="158"/>
      <c r="M60" s="158"/>
      <c r="N60" s="158"/>
      <c r="O60" s="158"/>
      <c r="P60" s="158"/>
      <c r="Q60" s="158"/>
      <c r="R60" s="158"/>
      <c r="S60" s="158"/>
      <c r="T60" s="158"/>
      <c r="U60" s="158"/>
      <c r="V60" s="158"/>
      <c r="W60" s="158"/>
      <c r="X60" s="158"/>
      <c r="Y60" s="158"/>
      <c r="Z60" s="158"/>
      <c r="AA60" s="158"/>
      <c r="AB60" s="158"/>
      <c r="AC60" s="158"/>
      <c r="AD60" s="158"/>
      <c r="AE60" s="158"/>
    </row>
    <row r="61" spans="1:31" s="14" customFormat="1" outlineLevel="1" x14ac:dyDescent="0.25">
      <c r="A61" s="36" t="s">
        <v>1609</v>
      </c>
      <c r="B61" s="38" t="s">
        <v>1610</v>
      </c>
      <c r="C61" s="180" t="s">
        <v>6</v>
      </c>
      <c r="D61" s="118">
        <f t="shared" si="10"/>
        <v>280.83333333333331</v>
      </c>
      <c r="E61" s="118">
        <f t="shared" si="2"/>
        <v>56.166666666666679</v>
      </c>
      <c r="F61" s="118">
        <f t="shared" si="11"/>
        <v>337</v>
      </c>
      <c r="G61" s="118">
        <v>311</v>
      </c>
      <c r="H61" s="304">
        <f t="shared" si="9"/>
        <v>337.12400000000002</v>
      </c>
      <c r="I61" s="304">
        <f t="shared" si="4"/>
        <v>337</v>
      </c>
      <c r="J61" s="158"/>
      <c r="K61" s="158"/>
      <c r="L61" s="158"/>
      <c r="M61" s="158"/>
      <c r="N61" s="158"/>
      <c r="O61" s="158"/>
      <c r="P61" s="158"/>
      <c r="Q61" s="158"/>
      <c r="R61" s="158"/>
      <c r="S61" s="158"/>
      <c r="T61" s="158"/>
      <c r="U61" s="158"/>
      <c r="V61" s="158"/>
      <c r="W61" s="158"/>
      <c r="X61" s="158"/>
      <c r="Y61" s="158"/>
      <c r="Z61" s="158"/>
      <c r="AA61" s="158"/>
      <c r="AB61" s="158"/>
      <c r="AC61" s="158"/>
      <c r="AD61" s="158"/>
      <c r="AE61" s="158"/>
    </row>
    <row r="62" spans="1:31" s="14" customFormat="1" ht="18.75" x14ac:dyDescent="0.25">
      <c r="A62" s="398" t="s">
        <v>317</v>
      </c>
      <c r="B62" s="399"/>
      <c r="C62" s="399"/>
      <c r="D62" s="399"/>
      <c r="E62" s="399"/>
      <c r="F62" s="399"/>
      <c r="G62" s="400"/>
      <c r="H62" s="306"/>
      <c r="I62" s="306"/>
      <c r="J62" s="158"/>
      <c r="K62" s="158"/>
      <c r="L62" s="158"/>
      <c r="M62" s="158"/>
      <c r="N62" s="158"/>
      <c r="O62" s="158"/>
      <c r="P62" s="158"/>
      <c r="Q62" s="158"/>
      <c r="R62" s="158"/>
      <c r="S62" s="158"/>
      <c r="T62" s="158"/>
      <c r="U62" s="158"/>
      <c r="V62" s="158"/>
      <c r="W62" s="158"/>
      <c r="X62" s="158"/>
      <c r="Y62" s="158"/>
      <c r="Z62" s="158"/>
      <c r="AA62" s="158"/>
      <c r="AB62" s="158"/>
      <c r="AC62" s="158"/>
      <c r="AD62" s="158"/>
      <c r="AE62" s="158"/>
    </row>
    <row r="63" spans="1:31" s="14" customFormat="1" outlineLevel="1" x14ac:dyDescent="0.25">
      <c r="A63" s="23" t="s">
        <v>164</v>
      </c>
      <c r="B63" s="24" t="s">
        <v>131</v>
      </c>
      <c r="C63" s="111" t="s">
        <v>6</v>
      </c>
      <c r="D63" s="118">
        <f t="shared" ref="D63:D94" si="12">F63-E63</f>
        <v>720.83333333333326</v>
      </c>
      <c r="E63" s="118">
        <f t="shared" si="2"/>
        <v>144.16666666666669</v>
      </c>
      <c r="F63" s="118">
        <f t="shared" ref="F63:F91" si="13">I63</f>
        <v>865</v>
      </c>
      <c r="G63" s="118">
        <v>798</v>
      </c>
      <c r="H63" s="304">
        <f t="shared" si="9"/>
        <v>865.03200000000004</v>
      </c>
      <c r="I63" s="304">
        <f t="shared" si="4"/>
        <v>865</v>
      </c>
      <c r="J63" s="158"/>
      <c r="K63" s="158"/>
      <c r="L63" s="158"/>
      <c r="M63" s="158"/>
      <c r="N63" s="158"/>
      <c r="O63" s="158"/>
      <c r="P63" s="158"/>
      <c r="Q63" s="158"/>
      <c r="R63" s="158"/>
      <c r="S63" s="158"/>
      <c r="T63" s="158"/>
      <c r="U63" s="158"/>
      <c r="V63" s="158"/>
      <c r="W63" s="158"/>
      <c r="X63" s="158"/>
      <c r="Y63" s="158"/>
      <c r="Z63" s="158"/>
      <c r="AA63" s="158"/>
      <c r="AB63" s="158"/>
      <c r="AC63" s="158"/>
      <c r="AD63" s="158"/>
      <c r="AE63" s="158"/>
    </row>
    <row r="64" spans="1:31" s="14" customFormat="1" outlineLevel="1" x14ac:dyDescent="0.25">
      <c r="A64" s="23" t="s">
        <v>283</v>
      </c>
      <c r="B64" s="24" t="s">
        <v>132</v>
      </c>
      <c r="C64" s="111" t="s">
        <v>6</v>
      </c>
      <c r="D64" s="118">
        <f t="shared" si="12"/>
        <v>720.83333333333326</v>
      </c>
      <c r="E64" s="118">
        <f t="shared" si="2"/>
        <v>144.16666666666669</v>
      </c>
      <c r="F64" s="118">
        <f t="shared" si="13"/>
        <v>865</v>
      </c>
      <c r="G64" s="118">
        <v>798</v>
      </c>
      <c r="H64" s="304">
        <f t="shared" si="9"/>
        <v>865.03200000000004</v>
      </c>
      <c r="I64" s="304">
        <f t="shared" si="4"/>
        <v>865</v>
      </c>
      <c r="J64" s="158"/>
      <c r="K64" s="158"/>
      <c r="L64" s="158"/>
      <c r="M64" s="158"/>
      <c r="N64" s="158"/>
      <c r="O64" s="158"/>
      <c r="P64" s="158"/>
      <c r="Q64" s="158"/>
      <c r="R64" s="158"/>
      <c r="S64" s="158"/>
      <c r="T64" s="158"/>
      <c r="U64" s="158"/>
      <c r="V64" s="158"/>
      <c r="W64" s="158"/>
      <c r="X64" s="158"/>
      <c r="Y64" s="158"/>
      <c r="Z64" s="158"/>
      <c r="AA64" s="158"/>
      <c r="AB64" s="158"/>
      <c r="AC64" s="158"/>
      <c r="AD64" s="158"/>
      <c r="AE64" s="158"/>
    </row>
    <row r="65" spans="1:31" s="14" customFormat="1" outlineLevel="1" x14ac:dyDescent="0.25">
      <c r="A65" s="23" t="s">
        <v>73</v>
      </c>
      <c r="B65" s="24" t="s">
        <v>133</v>
      </c>
      <c r="C65" s="111" t="s">
        <v>6</v>
      </c>
      <c r="D65" s="118">
        <f t="shared" si="12"/>
        <v>760.83333333333326</v>
      </c>
      <c r="E65" s="118">
        <f t="shared" si="2"/>
        <v>152.16666666666669</v>
      </c>
      <c r="F65" s="118">
        <f t="shared" si="13"/>
        <v>913</v>
      </c>
      <c r="G65" s="118">
        <v>842</v>
      </c>
      <c r="H65" s="304">
        <f t="shared" si="9"/>
        <v>912.72800000000007</v>
      </c>
      <c r="I65" s="304">
        <f t="shared" si="4"/>
        <v>913</v>
      </c>
      <c r="J65" s="158"/>
      <c r="K65" s="158"/>
      <c r="L65" s="158"/>
      <c r="M65" s="158"/>
      <c r="N65" s="158"/>
      <c r="O65" s="158"/>
      <c r="P65" s="158"/>
      <c r="Q65" s="158"/>
      <c r="R65" s="158"/>
      <c r="S65" s="158"/>
      <c r="T65" s="158"/>
      <c r="U65" s="158"/>
      <c r="V65" s="158"/>
      <c r="W65" s="158"/>
      <c r="X65" s="158"/>
      <c r="Y65" s="158"/>
      <c r="Z65" s="158"/>
      <c r="AA65" s="158"/>
      <c r="AB65" s="158"/>
      <c r="AC65" s="158"/>
      <c r="AD65" s="158"/>
      <c r="AE65" s="158"/>
    </row>
    <row r="66" spans="1:31" s="14" customFormat="1" outlineLevel="1" x14ac:dyDescent="0.25">
      <c r="A66" s="23" t="s">
        <v>74</v>
      </c>
      <c r="B66" s="24" t="s">
        <v>134</v>
      </c>
      <c r="C66" s="111" t="s">
        <v>6</v>
      </c>
      <c r="D66" s="118">
        <f t="shared" si="12"/>
        <v>760.83333333333326</v>
      </c>
      <c r="E66" s="118">
        <f t="shared" si="2"/>
        <v>152.16666666666669</v>
      </c>
      <c r="F66" s="118">
        <f t="shared" si="13"/>
        <v>913</v>
      </c>
      <c r="G66" s="118">
        <v>842</v>
      </c>
      <c r="H66" s="304">
        <f t="shared" si="9"/>
        <v>912.72800000000007</v>
      </c>
      <c r="I66" s="304">
        <f t="shared" si="4"/>
        <v>913</v>
      </c>
      <c r="J66" s="158"/>
      <c r="K66" s="158"/>
      <c r="L66" s="158"/>
      <c r="M66" s="158"/>
      <c r="N66" s="158"/>
      <c r="O66" s="158"/>
      <c r="P66" s="158"/>
      <c r="Q66" s="158"/>
      <c r="R66" s="158"/>
      <c r="S66" s="158"/>
      <c r="T66" s="158"/>
      <c r="U66" s="158"/>
      <c r="V66" s="158"/>
      <c r="W66" s="158"/>
      <c r="X66" s="158"/>
      <c r="Y66" s="158"/>
      <c r="Z66" s="158"/>
      <c r="AA66" s="158"/>
      <c r="AB66" s="158"/>
      <c r="AC66" s="158"/>
      <c r="AD66" s="158"/>
      <c r="AE66" s="158"/>
    </row>
    <row r="67" spans="1:31" s="14" customFormat="1" outlineLevel="1" x14ac:dyDescent="0.25">
      <c r="A67" s="23" t="s">
        <v>76</v>
      </c>
      <c r="B67" s="24" t="s">
        <v>135</v>
      </c>
      <c r="C67" s="111" t="s">
        <v>6</v>
      </c>
      <c r="D67" s="118">
        <f t="shared" si="12"/>
        <v>610.83333333333326</v>
      </c>
      <c r="E67" s="118">
        <f t="shared" si="2"/>
        <v>122.16666666666669</v>
      </c>
      <c r="F67" s="118">
        <f t="shared" si="13"/>
        <v>733</v>
      </c>
      <c r="G67" s="118">
        <v>676</v>
      </c>
      <c r="H67" s="304">
        <f t="shared" si="9"/>
        <v>732.78400000000011</v>
      </c>
      <c r="I67" s="304">
        <f t="shared" si="4"/>
        <v>733</v>
      </c>
      <c r="J67" s="158"/>
      <c r="K67" s="158"/>
      <c r="L67" s="158"/>
      <c r="M67" s="158"/>
      <c r="N67" s="158"/>
      <c r="O67" s="158"/>
      <c r="P67" s="158"/>
      <c r="Q67" s="158"/>
      <c r="R67" s="158"/>
      <c r="S67" s="158"/>
      <c r="T67" s="158"/>
      <c r="U67" s="158"/>
      <c r="V67" s="158"/>
      <c r="W67" s="158"/>
      <c r="X67" s="158"/>
      <c r="Y67" s="158"/>
      <c r="Z67" s="158"/>
      <c r="AA67" s="158"/>
      <c r="AB67" s="158"/>
      <c r="AC67" s="158"/>
      <c r="AD67" s="158"/>
      <c r="AE67" s="158"/>
    </row>
    <row r="68" spans="1:31" s="14" customFormat="1" outlineLevel="1" x14ac:dyDescent="0.25">
      <c r="A68" s="23" t="s">
        <v>78</v>
      </c>
      <c r="B68" s="24" t="s">
        <v>263</v>
      </c>
      <c r="C68" s="111" t="s">
        <v>6</v>
      </c>
      <c r="D68" s="118">
        <f t="shared" si="12"/>
        <v>610.83333333333326</v>
      </c>
      <c r="E68" s="118">
        <f t="shared" si="2"/>
        <v>122.16666666666669</v>
      </c>
      <c r="F68" s="118">
        <f t="shared" si="13"/>
        <v>733</v>
      </c>
      <c r="G68" s="118">
        <v>676</v>
      </c>
      <c r="H68" s="304">
        <f t="shared" si="9"/>
        <v>732.78400000000011</v>
      </c>
      <c r="I68" s="304">
        <f t="shared" si="4"/>
        <v>733</v>
      </c>
      <c r="J68" s="158"/>
      <c r="K68" s="158"/>
      <c r="L68" s="158"/>
      <c r="M68" s="158"/>
      <c r="N68" s="158"/>
      <c r="O68" s="158"/>
      <c r="P68" s="158"/>
      <c r="Q68" s="158"/>
      <c r="R68" s="158"/>
      <c r="S68" s="158"/>
      <c r="T68" s="158"/>
      <c r="U68" s="158"/>
      <c r="V68" s="158"/>
      <c r="W68" s="158"/>
      <c r="X68" s="158"/>
      <c r="Y68" s="158"/>
      <c r="Z68" s="158"/>
      <c r="AA68" s="158"/>
      <c r="AB68" s="158"/>
      <c r="AC68" s="158"/>
      <c r="AD68" s="158"/>
      <c r="AE68" s="158"/>
    </row>
    <row r="69" spans="1:31" s="14" customFormat="1" outlineLevel="1" x14ac:dyDescent="0.25">
      <c r="A69" s="23" t="s">
        <v>318</v>
      </c>
      <c r="B69" s="24" t="s">
        <v>380</v>
      </c>
      <c r="C69" s="111" t="s">
        <v>6</v>
      </c>
      <c r="D69" s="118">
        <f t="shared" si="12"/>
        <v>579.16666666666663</v>
      </c>
      <c r="E69" s="118">
        <f t="shared" si="2"/>
        <v>115.83333333333336</v>
      </c>
      <c r="F69" s="118">
        <f t="shared" si="13"/>
        <v>695</v>
      </c>
      <c r="G69" s="118">
        <v>641</v>
      </c>
      <c r="H69" s="304">
        <f t="shared" si="9"/>
        <v>694.84400000000005</v>
      </c>
      <c r="I69" s="304">
        <f t="shared" si="4"/>
        <v>695</v>
      </c>
      <c r="J69" s="158"/>
      <c r="K69" s="158"/>
      <c r="L69" s="158"/>
      <c r="M69" s="158"/>
      <c r="N69" s="158"/>
      <c r="O69" s="158"/>
      <c r="P69" s="158"/>
      <c r="Q69" s="158"/>
      <c r="R69" s="158"/>
      <c r="S69" s="158"/>
      <c r="T69" s="158"/>
      <c r="U69" s="158"/>
      <c r="V69" s="158"/>
      <c r="W69" s="158"/>
      <c r="X69" s="158"/>
      <c r="Y69" s="158"/>
      <c r="Z69" s="158"/>
      <c r="AA69" s="158"/>
      <c r="AB69" s="158"/>
      <c r="AC69" s="158"/>
      <c r="AD69" s="158"/>
      <c r="AE69" s="158"/>
    </row>
    <row r="70" spans="1:31" s="14" customFormat="1" outlineLevel="1" x14ac:dyDescent="0.25">
      <c r="A70" s="23" t="s">
        <v>377</v>
      </c>
      <c r="B70" s="24" t="s">
        <v>381</v>
      </c>
      <c r="C70" s="111" t="s">
        <v>6</v>
      </c>
      <c r="D70" s="118">
        <f t="shared" si="12"/>
        <v>1447.5</v>
      </c>
      <c r="E70" s="118">
        <f t="shared" si="2"/>
        <v>289.5</v>
      </c>
      <c r="F70" s="118">
        <f t="shared" si="13"/>
        <v>1737</v>
      </c>
      <c r="G70" s="118">
        <v>1602</v>
      </c>
      <c r="H70" s="304">
        <f t="shared" si="9"/>
        <v>1736.5680000000002</v>
      </c>
      <c r="I70" s="304">
        <f t="shared" si="4"/>
        <v>1737</v>
      </c>
      <c r="J70" s="158"/>
      <c r="K70" s="158"/>
      <c r="L70" s="158"/>
      <c r="M70" s="158"/>
      <c r="N70" s="158"/>
      <c r="O70" s="158"/>
      <c r="P70" s="158"/>
      <c r="Q70" s="158"/>
      <c r="R70" s="158"/>
      <c r="S70" s="158"/>
      <c r="T70" s="158"/>
      <c r="U70" s="158"/>
      <c r="V70" s="158"/>
      <c r="W70" s="158"/>
      <c r="X70" s="158"/>
      <c r="Y70" s="158"/>
      <c r="Z70" s="158"/>
      <c r="AA70" s="158"/>
      <c r="AB70" s="158"/>
      <c r="AC70" s="158"/>
      <c r="AD70" s="158"/>
      <c r="AE70" s="158"/>
    </row>
    <row r="71" spans="1:31" s="14" customFormat="1" ht="31.5" outlineLevel="1" x14ac:dyDescent="0.25">
      <c r="A71" s="23" t="s">
        <v>1449</v>
      </c>
      <c r="B71" s="24" t="s">
        <v>1500</v>
      </c>
      <c r="C71" s="137" t="s">
        <v>6</v>
      </c>
      <c r="D71" s="118">
        <f t="shared" si="12"/>
        <v>23127.5</v>
      </c>
      <c r="E71" s="118">
        <f t="shared" si="2"/>
        <v>4625.5</v>
      </c>
      <c r="F71" s="118">
        <f t="shared" si="13"/>
        <v>27753</v>
      </c>
      <c r="G71" s="118">
        <v>25602</v>
      </c>
      <c r="H71" s="304">
        <f t="shared" si="9"/>
        <v>27752.568000000003</v>
      </c>
      <c r="I71" s="304">
        <f t="shared" si="4"/>
        <v>27753</v>
      </c>
      <c r="J71" s="158"/>
      <c r="K71" s="158"/>
      <c r="L71" s="158"/>
      <c r="M71" s="158"/>
      <c r="N71" s="158"/>
      <c r="O71" s="158"/>
      <c r="P71" s="158"/>
      <c r="Q71" s="158"/>
      <c r="R71" s="158"/>
      <c r="S71" s="158"/>
      <c r="T71" s="158"/>
      <c r="U71" s="158"/>
      <c r="V71" s="158"/>
      <c r="W71" s="158"/>
      <c r="X71" s="158"/>
      <c r="Y71" s="158"/>
      <c r="Z71" s="158"/>
      <c r="AA71" s="158"/>
      <c r="AB71" s="158"/>
      <c r="AC71" s="158"/>
      <c r="AD71" s="158"/>
      <c r="AE71" s="158"/>
    </row>
    <row r="72" spans="1:31" s="14" customFormat="1" ht="31.5" outlineLevel="1" x14ac:dyDescent="0.25">
      <c r="A72" s="23" t="s">
        <v>1450</v>
      </c>
      <c r="B72" s="24" t="s">
        <v>1501</v>
      </c>
      <c r="C72" s="137" t="s">
        <v>6</v>
      </c>
      <c r="D72" s="118">
        <f t="shared" si="12"/>
        <v>3376.6666666666665</v>
      </c>
      <c r="E72" s="118">
        <f t="shared" si="2"/>
        <v>675.33333333333348</v>
      </c>
      <c r="F72" s="118">
        <f t="shared" si="13"/>
        <v>4052</v>
      </c>
      <c r="G72" s="118">
        <v>3738</v>
      </c>
      <c r="H72" s="304">
        <f t="shared" si="9"/>
        <v>4051.9920000000002</v>
      </c>
      <c r="I72" s="304">
        <f t="shared" si="4"/>
        <v>4052</v>
      </c>
      <c r="J72" s="158"/>
      <c r="K72" s="158"/>
      <c r="L72" s="158"/>
      <c r="M72" s="158"/>
      <c r="N72" s="158"/>
      <c r="O72" s="158"/>
      <c r="P72" s="158"/>
      <c r="Q72" s="158"/>
      <c r="R72" s="158"/>
      <c r="S72" s="158"/>
      <c r="T72" s="158"/>
      <c r="U72" s="158"/>
      <c r="V72" s="158"/>
      <c r="W72" s="158"/>
      <c r="X72" s="158"/>
      <c r="Y72" s="158"/>
      <c r="Z72" s="158"/>
      <c r="AA72" s="158"/>
      <c r="AB72" s="158"/>
      <c r="AC72" s="158"/>
      <c r="AD72" s="158"/>
      <c r="AE72" s="158"/>
    </row>
    <row r="73" spans="1:31" s="14" customFormat="1" ht="31.5" outlineLevel="1" x14ac:dyDescent="0.25">
      <c r="A73" s="23" t="s">
        <v>1451</v>
      </c>
      <c r="B73" s="24" t="s">
        <v>1504</v>
      </c>
      <c r="C73" s="137" t="s">
        <v>6</v>
      </c>
      <c r="D73" s="118">
        <f t="shared" si="12"/>
        <v>21543.333333333332</v>
      </c>
      <c r="E73" s="118">
        <f t="shared" si="2"/>
        <v>4308.666666666667</v>
      </c>
      <c r="F73" s="118">
        <f t="shared" si="13"/>
        <v>25852</v>
      </c>
      <c r="G73" s="118">
        <v>23849</v>
      </c>
      <c r="H73" s="304">
        <f t="shared" si="9"/>
        <v>25852.316000000003</v>
      </c>
      <c r="I73" s="304">
        <f t="shared" si="4"/>
        <v>25852</v>
      </c>
      <c r="J73" s="158"/>
      <c r="K73" s="158"/>
      <c r="L73" s="158"/>
      <c r="M73" s="158"/>
      <c r="N73" s="158"/>
      <c r="O73" s="158"/>
      <c r="P73" s="158"/>
      <c r="Q73" s="158"/>
      <c r="R73" s="158"/>
      <c r="S73" s="158"/>
      <c r="T73" s="158"/>
      <c r="U73" s="158"/>
      <c r="V73" s="158"/>
      <c r="W73" s="158"/>
      <c r="X73" s="158"/>
      <c r="Y73" s="158"/>
      <c r="Z73" s="158"/>
      <c r="AA73" s="158"/>
      <c r="AB73" s="158"/>
      <c r="AC73" s="158"/>
      <c r="AD73" s="158"/>
      <c r="AE73" s="158"/>
    </row>
    <row r="74" spans="1:31" s="14" customFormat="1" ht="31.5" outlineLevel="1" x14ac:dyDescent="0.25">
      <c r="A74" s="23" t="s">
        <v>1453</v>
      </c>
      <c r="B74" s="24" t="s">
        <v>1505</v>
      </c>
      <c r="C74" s="137" t="s">
        <v>6</v>
      </c>
      <c r="D74" s="118">
        <f t="shared" si="12"/>
        <v>3329.1666666666665</v>
      </c>
      <c r="E74" s="118">
        <f t="shared" si="2"/>
        <v>665.83333333333348</v>
      </c>
      <c r="F74" s="118">
        <f t="shared" si="13"/>
        <v>3995</v>
      </c>
      <c r="G74" s="118">
        <v>3685</v>
      </c>
      <c r="H74" s="304">
        <f t="shared" si="9"/>
        <v>3994.5400000000004</v>
      </c>
      <c r="I74" s="304">
        <f t="shared" si="4"/>
        <v>3995</v>
      </c>
      <c r="J74" s="158"/>
      <c r="K74" s="158"/>
      <c r="L74" s="158"/>
      <c r="M74" s="158"/>
      <c r="N74" s="158"/>
      <c r="O74" s="158"/>
      <c r="P74" s="158"/>
      <c r="Q74" s="158"/>
      <c r="R74" s="158"/>
      <c r="S74" s="158"/>
      <c r="T74" s="158"/>
      <c r="U74" s="158"/>
      <c r="V74" s="158"/>
      <c r="W74" s="158"/>
      <c r="X74" s="158"/>
      <c r="Y74" s="158"/>
      <c r="Z74" s="158"/>
      <c r="AA74" s="158"/>
      <c r="AB74" s="158"/>
      <c r="AC74" s="158"/>
      <c r="AD74" s="158"/>
      <c r="AE74" s="158"/>
    </row>
    <row r="75" spans="1:31" s="14" customFormat="1" ht="31.5" outlineLevel="1" x14ac:dyDescent="0.25">
      <c r="A75" s="23" t="s">
        <v>1454</v>
      </c>
      <c r="B75" s="24" t="s">
        <v>1502</v>
      </c>
      <c r="C75" s="137" t="s">
        <v>6</v>
      </c>
      <c r="D75" s="118">
        <f t="shared" si="12"/>
        <v>21543.333333333332</v>
      </c>
      <c r="E75" s="118">
        <f t="shared" si="2"/>
        <v>4308.666666666667</v>
      </c>
      <c r="F75" s="118">
        <f t="shared" si="13"/>
        <v>25852</v>
      </c>
      <c r="G75" s="118">
        <v>23849</v>
      </c>
      <c r="H75" s="304">
        <f t="shared" si="9"/>
        <v>25852.316000000003</v>
      </c>
      <c r="I75" s="304">
        <f t="shared" si="4"/>
        <v>25852</v>
      </c>
      <c r="J75" s="158"/>
      <c r="K75" s="158"/>
      <c r="L75" s="158"/>
      <c r="M75" s="158"/>
      <c r="N75" s="158"/>
      <c r="O75" s="158"/>
      <c r="P75" s="158"/>
      <c r="Q75" s="158"/>
      <c r="R75" s="158"/>
      <c r="S75" s="158"/>
      <c r="T75" s="158"/>
      <c r="U75" s="158"/>
      <c r="V75" s="158"/>
      <c r="W75" s="158"/>
      <c r="X75" s="158"/>
      <c r="Y75" s="158"/>
      <c r="Z75" s="158"/>
      <c r="AA75" s="158"/>
      <c r="AB75" s="158"/>
      <c r="AC75" s="158"/>
      <c r="AD75" s="158"/>
      <c r="AE75" s="158"/>
    </row>
    <row r="76" spans="1:31" s="14" customFormat="1" ht="31.5" outlineLevel="1" x14ac:dyDescent="0.25">
      <c r="A76" s="23" t="s">
        <v>1455</v>
      </c>
      <c r="B76" s="24" t="s">
        <v>1503</v>
      </c>
      <c r="C76" s="137" t="s">
        <v>6</v>
      </c>
      <c r="D76" s="118">
        <f t="shared" si="12"/>
        <v>3329.1666666666665</v>
      </c>
      <c r="E76" s="118">
        <f t="shared" ref="E76:E108" si="14">F76/1.2*0.2</f>
        <v>665.83333333333348</v>
      </c>
      <c r="F76" s="118">
        <f t="shared" si="13"/>
        <v>3995</v>
      </c>
      <c r="G76" s="118">
        <v>3685</v>
      </c>
      <c r="H76" s="304">
        <f t="shared" si="9"/>
        <v>3994.5400000000004</v>
      </c>
      <c r="I76" s="304">
        <f t="shared" ref="I76:I116" si="15">ROUND(H76,0)</f>
        <v>3995</v>
      </c>
      <c r="J76" s="158"/>
      <c r="K76" s="158"/>
      <c r="L76" s="158"/>
      <c r="M76" s="158"/>
      <c r="N76" s="158"/>
      <c r="O76" s="158"/>
      <c r="P76" s="158"/>
      <c r="Q76" s="158"/>
      <c r="R76" s="158"/>
      <c r="S76" s="158"/>
      <c r="T76" s="158"/>
      <c r="U76" s="158"/>
      <c r="V76" s="158"/>
      <c r="W76" s="158"/>
      <c r="X76" s="158"/>
      <c r="Y76" s="158"/>
      <c r="Z76" s="158"/>
      <c r="AA76" s="158"/>
      <c r="AB76" s="158"/>
      <c r="AC76" s="158"/>
      <c r="AD76" s="158"/>
      <c r="AE76" s="158"/>
    </row>
    <row r="77" spans="1:31" s="14" customFormat="1" outlineLevel="1" x14ac:dyDescent="0.25">
      <c r="A77" s="23" t="s">
        <v>1532</v>
      </c>
      <c r="B77" s="24" t="s">
        <v>1535</v>
      </c>
      <c r="C77" s="152" t="s">
        <v>6</v>
      </c>
      <c r="D77" s="118">
        <f t="shared" si="12"/>
        <v>771.66666666666663</v>
      </c>
      <c r="E77" s="118">
        <f t="shared" si="14"/>
        <v>154.33333333333337</v>
      </c>
      <c r="F77" s="118">
        <f t="shared" si="13"/>
        <v>926</v>
      </c>
      <c r="G77" s="118">
        <v>854</v>
      </c>
      <c r="H77" s="304">
        <f t="shared" si="9"/>
        <v>925.7360000000001</v>
      </c>
      <c r="I77" s="304">
        <f t="shared" si="15"/>
        <v>926</v>
      </c>
      <c r="J77" s="158"/>
      <c r="K77" s="158"/>
      <c r="L77" s="158"/>
      <c r="M77" s="158"/>
      <c r="N77" s="158"/>
      <c r="O77" s="158"/>
      <c r="P77" s="158"/>
      <c r="Q77" s="158"/>
      <c r="R77" s="158"/>
      <c r="S77" s="158"/>
      <c r="T77" s="158"/>
      <c r="U77" s="158"/>
      <c r="V77" s="158"/>
      <c r="W77" s="158"/>
      <c r="X77" s="158"/>
      <c r="Y77" s="158"/>
      <c r="Z77" s="158"/>
      <c r="AA77" s="158"/>
      <c r="AB77" s="158"/>
      <c r="AC77" s="158"/>
      <c r="AD77" s="158"/>
      <c r="AE77" s="158"/>
    </row>
    <row r="78" spans="1:31" s="14" customFormat="1" outlineLevel="1" x14ac:dyDescent="0.25">
      <c r="A78" s="23" t="s">
        <v>1533</v>
      </c>
      <c r="B78" s="24" t="s">
        <v>1536</v>
      </c>
      <c r="C78" s="152" t="s">
        <v>6</v>
      </c>
      <c r="D78" s="118">
        <f t="shared" si="12"/>
        <v>1200.8333333333333</v>
      </c>
      <c r="E78" s="118">
        <f t="shared" si="14"/>
        <v>240.16666666666671</v>
      </c>
      <c r="F78" s="118">
        <f t="shared" si="13"/>
        <v>1441</v>
      </c>
      <c r="G78" s="118">
        <v>1329</v>
      </c>
      <c r="H78" s="304">
        <f t="shared" si="9"/>
        <v>1440.6360000000002</v>
      </c>
      <c r="I78" s="304">
        <f t="shared" si="15"/>
        <v>1441</v>
      </c>
      <c r="J78" s="158"/>
      <c r="K78" s="158"/>
      <c r="L78" s="158"/>
      <c r="M78" s="158"/>
      <c r="N78" s="158"/>
      <c r="O78" s="158"/>
      <c r="P78" s="158"/>
      <c r="Q78" s="158"/>
      <c r="R78" s="158"/>
      <c r="S78" s="158"/>
      <c r="T78" s="158"/>
      <c r="U78" s="158"/>
      <c r="V78" s="158"/>
      <c r="W78" s="158"/>
      <c r="X78" s="158"/>
      <c r="Y78" s="158"/>
      <c r="Z78" s="158"/>
      <c r="AA78" s="158"/>
      <c r="AB78" s="158"/>
      <c r="AC78" s="158"/>
      <c r="AD78" s="158"/>
      <c r="AE78" s="158"/>
    </row>
    <row r="79" spans="1:31" s="14" customFormat="1" outlineLevel="1" x14ac:dyDescent="0.25">
      <c r="A79" s="23" t="s">
        <v>1534</v>
      </c>
      <c r="B79" s="24" t="s">
        <v>1537</v>
      </c>
      <c r="C79" s="152" t="s">
        <v>6</v>
      </c>
      <c r="D79" s="118">
        <f t="shared" si="12"/>
        <v>2605</v>
      </c>
      <c r="E79" s="118">
        <f t="shared" si="14"/>
        <v>521</v>
      </c>
      <c r="F79" s="118">
        <f t="shared" si="13"/>
        <v>3126</v>
      </c>
      <c r="G79" s="118">
        <v>2884</v>
      </c>
      <c r="H79" s="304">
        <f t="shared" si="9"/>
        <v>3126.2560000000003</v>
      </c>
      <c r="I79" s="304">
        <f t="shared" si="15"/>
        <v>3126</v>
      </c>
      <c r="J79" s="158"/>
      <c r="K79" s="158"/>
      <c r="L79" s="158"/>
      <c r="M79" s="158"/>
      <c r="N79" s="158"/>
      <c r="O79" s="158"/>
      <c r="P79" s="158"/>
      <c r="Q79" s="158"/>
      <c r="R79" s="158"/>
      <c r="S79" s="158"/>
      <c r="T79" s="158"/>
      <c r="U79" s="158"/>
      <c r="V79" s="158"/>
      <c r="W79" s="158"/>
      <c r="X79" s="158"/>
      <c r="Y79" s="158"/>
      <c r="Z79" s="158"/>
      <c r="AA79" s="158"/>
      <c r="AB79" s="158"/>
      <c r="AC79" s="158"/>
      <c r="AD79" s="158"/>
      <c r="AE79" s="158"/>
    </row>
    <row r="80" spans="1:31" s="14" customFormat="1" ht="38.25" outlineLevel="1" x14ac:dyDescent="0.25">
      <c r="A80" s="23" t="s">
        <v>1602</v>
      </c>
      <c r="B80" s="24" t="s">
        <v>1606</v>
      </c>
      <c r="C80" s="179" t="s">
        <v>1607</v>
      </c>
      <c r="D80" s="118">
        <f t="shared" si="12"/>
        <v>1011.6666666666666</v>
      </c>
      <c r="E80" s="118">
        <f t="shared" si="14"/>
        <v>202.33333333333337</v>
      </c>
      <c r="F80" s="118">
        <f t="shared" si="13"/>
        <v>1214</v>
      </c>
      <c r="G80" s="123">
        <v>1120</v>
      </c>
      <c r="H80" s="304">
        <f t="shared" si="9"/>
        <v>1214.0800000000002</v>
      </c>
      <c r="I80" s="304">
        <f t="shared" si="15"/>
        <v>1214</v>
      </c>
      <c r="J80" s="158"/>
      <c r="K80" s="158"/>
      <c r="L80" s="158"/>
      <c r="M80" s="158"/>
      <c r="N80" s="158"/>
      <c r="O80" s="158"/>
      <c r="P80" s="158"/>
      <c r="Q80" s="158"/>
      <c r="R80" s="158"/>
      <c r="S80" s="158"/>
      <c r="T80" s="158"/>
      <c r="U80" s="158"/>
      <c r="V80" s="158"/>
      <c r="W80" s="158"/>
      <c r="X80" s="158"/>
      <c r="Y80" s="158"/>
      <c r="Z80" s="158"/>
      <c r="AA80" s="158"/>
      <c r="AB80" s="158"/>
      <c r="AC80" s="158"/>
      <c r="AD80" s="158"/>
      <c r="AE80" s="158"/>
    </row>
    <row r="81" spans="1:31" s="14" customFormat="1" ht="31.5" outlineLevel="1" x14ac:dyDescent="0.25">
      <c r="A81" s="23" t="s">
        <v>1603</v>
      </c>
      <c r="B81" s="24" t="s">
        <v>1871</v>
      </c>
      <c r="C81" s="179" t="s">
        <v>6</v>
      </c>
      <c r="D81" s="118">
        <f t="shared" si="12"/>
        <v>2623.333333333333</v>
      </c>
      <c r="E81" s="118">
        <f t="shared" si="14"/>
        <v>524.66666666666674</v>
      </c>
      <c r="F81" s="118">
        <f t="shared" si="13"/>
        <v>3148</v>
      </c>
      <c r="G81" s="123">
        <v>2904</v>
      </c>
      <c r="H81" s="304">
        <f t="shared" si="9"/>
        <v>3147.9360000000001</v>
      </c>
      <c r="I81" s="304">
        <f t="shared" si="15"/>
        <v>3148</v>
      </c>
      <c r="J81" s="158"/>
      <c r="K81" s="158"/>
      <c r="L81" s="158"/>
      <c r="M81" s="158"/>
      <c r="N81" s="158"/>
      <c r="O81" s="158"/>
      <c r="P81" s="158"/>
      <c r="Q81" s="158"/>
      <c r="R81" s="158"/>
      <c r="S81" s="158"/>
      <c r="T81" s="158"/>
      <c r="U81" s="158"/>
      <c r="V81" s="158"/>
      <c r="W81" s="158"/>
      <c r="X81" s="158"/>
      <c r="Y81" s="158"/>
      <c r="Z81" s="158"/>
      <c r="AA81" s="158"/>
      <c r="AB81" s="158"/>
      <c r="AC81" s="158"/>
      <c r="AD81" s="158"/>
      <c r="AE81" s="158"/>
    </row>
    <row r="82" spans="1:31" s="14" customFormat="1" ht="31.5" outlineLevel="1" x14ac:dyDescent="0.25">
      <c r="A82" s="23" t="s">
        <v>1604</v>
      </c>
      <c r="B82" s="24" t="s">
        <v>1872</v>
      </c>
      <c r="C82" s="179" t="s">
        <v>6</v>
      </c>
      <c r="D82" s="118">
        <f t="shared" si="12"/>
        <v>2627.5</v>
      </c>
      <c r="E82" s="118">
        <f t="shared" si="14"/>
        <v>525.5</v>
      </c>
      <c r="F82" s="118">
        <f t="shared" si="13"/>
        <v>3153</v>
      </c>
      <c r="G82" s="123">
        <v>2909</v>
      </c>
      <c r="H82" s="304">
        <f t="shared" si="9"/>
        <v>3153.3560000000002</v>
      </c>
      <c r="I82" s="304">
        <f t="shared" si="15"/>
        <v>3153</v>
      </c>
      <c r="J82" s="158"/>
      <c r="K82" s="158"/>
      <c r="L82" s="158"/>
      <c r="M82" s="158"/>
      <c r="N82" s="158"/>
      <c r="O82" s="158"/>
      <c r="P82" s="158"/>
      <c r="Q82" s="158"/>
      <c r="R82" s="158"/>
      <c r="S82" s="158"/>
      <c r="T82" s="158"/>
      <c r="U82" s="158"/>
      <c r="V82" s="158"/>
      <c r="W82" s="158"/>
      <c r="X82" s="158"/>
      <c r="Y82" s="158"/>
      <c r="Z82" s="158"/>
      <c r="AA82" s="158"/>
      <c r="AB82" s="158"/>
      <c r="AC82" s="158"/>
      <c r="AD82" s="158"/>
      <c r="AE82" s="158"/>
    </row>
    <row r="83" spans="1:31" s="14" customFormat="1" ht="31.5" outlineLevel="1" x14ac:dyDescent="0.25">
      <c r="A83" s="23" t="s">
        <v>1605</v>
      </c>
      <c r="B83" s="24" t="s">
        <v>1873</v>
      </c>
      <c r="C83" s="179" t="s">
        <v>6</v>
      </c>
      <c r="D83" s="118">
        <f t="shared" si="12"/>
        <v>2604.1666666666665</v>
      </c>
      <c r="E83" s="118">
        <f t="shared" si="14"/>
        <v>520.83333333333337</v>
      </c>
      <c r="F83" s="118">
        <f t="shared" si="13"/>
        <v>3125</v>
      </c>
      <c r="G83" s="123">
        <v>2883</v>
      </c>
      <c r="H83" s="304">
        <f t="shared" si="9"/>
        <v>3125.172</v>
      </c>
      <c r="I83" s="304">
        <f t="shared" si="15"/>
        <v>3125</v>
      </c>
      <c r="J83" s="158"/>
      <c r="K83" s="158"/>
      <c r="L83" s="158"/>
      <c r="M83" s="158"/>
      <c r="N83" s="158"/>
      <c r="O83" s="158"/>
      <c r="P83" s="158"/>
      <c r="Q83" s="158"/>
      <c r="R83" s="158"/>
      <c r="S83" s="158"/>
      <c r="T83" s="158"/>
      <c r="U83" s="158"/>
      <c r="V83" s="158"/>
      <c r="W83" s="158"/>
      <c r="X83" s="158"/>
      <c r="Y83" s="158"/>
      <c r="Z83" s="158"/>
      <c r="AA83" s="158"/>
      <c r="AB83" s="158"/>
      <c r="AC83" s="158"/>
      <c r="AD83" s="158"/>
      <c r="AE83" s="158"/>
    </row>
    <row r="84" spans="1:31" s="14" customFormat="1" ht="31.5" outlineLevel="1" x14ac:dyDescent="0.25">
      <c r="A84" s="23" t="s">
        <v>1711</v>
      </c>
      <c r="B84" s="24" t="s">
        <v>1874</v>
      </c>
      <c r="C84" s="189" t="s">
        <v>6</v>
      </c>
      <c r="D84" s="118">
        <f t="shared" si="12"/>
        <v>1826.6666666666665</v>
      </c>
      <c r="E84" s="118">
        <f t="shared" si="14"/>
        <v>365.33333333333337</v>
      </c>
      <c r="F84" s="118">
        <f t="shared" si="13"/>
        <v>2192</v>
      </c>
      <c r="G84" s="123">
        <v>2022</v>
      </c>
      <c r="H84" s="304">
        <f t="shared" si="9"/>
        <v>2191.848</v>
      </c>
      <c r="I84" s="304">
        <f t="shared" si="15"/>
        <v>2192</v>
      </c>
      <c r="J84" s="158"/>
      <c r="K84" s="158"/>
      <c r="L84" s="158"/>
      <c r="M84" s="158"/>
      <c r="N84" s="158"/>
      <c r="O84" s="158"/>
      <c r="P84" s="158"/>
      <c r="Q84" s="158"/>
      <c r="R84" s="158"/>
      <c r="S84" s="158"/>
      <c r="T84" s="158"/>
      <c r="U84" s="158"/>
      <c r="V84" s="158"/>
      <c r="W84" s="158"/>
      <c r="X84" s="158"/>
      <c r="Y84" s="158"/>
      <c r="Z84" s="158"/>
      <c r="AA84" s="158"/>
      <c r="AB84" s="158"/>
      <c r="AC84" s="158"/>
      <c r="AD84" s="158"/>
      <c r="AE84" s="158"/>
    </row>
    <row r="85" spans="1:31" s="14" customFormat="1" outlineLevel="1" x14ac:dyDescent="0.25">
      <c r="A85" s="23" t="s">
        <v>1719</v>
      </c>
      <c r="B85" s="24" t="s">
        <v>1875</v>
      </c>
      <c r="C85" s="190" t="s">
        <v>6</v>
      </c>
      <c r="D85" s="118">
        <f t="shared" si="12"/>
        <v>1644.1666666666665</v>
      </c>
      <c r="E85" s="118">
        <f t="shared" si="14"/>
        <v>328.83333333333337</v>
      </c>
      <c r="F85" s="118">
        <f t="shared" si="13"/>
        <v>1973</v>
      </c>
      <c r="G85" s="123">
        <v>1820</v>
      </c>
      <c r="H85" s="304">
        <f t="shared" si="9"/>
        <v>1972.88</v>
      </c>
      <c r="I85" s="304">
        <f t="shared" si="15"/>
        <v>1973</v>
      </c>
      <c r="J85" s="158"/>
      <c r="K85" s="158"/>
      <c r="L85" s="158"/>
      <c r="M85" s="158"/>
      <c r="N85" s="158"/>
      <c r="O85" s="158"/>
      <c r="P85" s="158"/>
      <c r="Q85" s="158"/>
      <c r="R85" s="158"/>
      <c r="S85" s="158"/>
      <c r="T85" s="158"/>
      <c r="U85" s="158"/>
      <c r="V85" s="158"/>
      <c r="W85" s="158"/>
      <c r="X85" s="158"/>
      <c r="Y85" s="158"/>
      <c r="Z85" s="158"/>
      <c r="AA85" s="158"/>
      <c r="AB85" s="158"/>
      <c r="AC85" s="158"/>
      <c r="AD85" s="158"/>
      <c r="AE85" s="158"/>
    </row>
    <row r="86" spans="1:31" s="14" customFormat="1" ht="31.5" outlineLevel="1" x14ac:dyDescent="0.25">
      <c r="A86" s="23" t="s">
        <v>1720</v>
      </c>
      <c r="B86" s="24" t="s">
        <v>1876</v>
      </c>
      <c r="C86" s="190" t="s">
        <v>6</v>
      </c>
      <c r="D86" s="118">
        <f t="shared" si="12"/>
        <v>1648.3333333333333</v>
      </c>
      <c r="E86" s="118">
        <f t="shared" si="14"/>
        <v>329.66666666666674</v>
      </c>
      <c r="F86" s="118">
        <f t="shared" si="13"/>
        <v>1978</v>
      </c>
      <c r="G86" s="123">
        <v>1825</v>
      </c>
      <c r="H86" s="304">
        <f t="shared" si="9"/>
        <v>1978.3000000000002</v>
      </c>
      <c r="I86" s="304">
        <f t="shared" si="15"/>
        <v>1978</v>
      </c>
      <c r="J86" s="158"/>
      <c r="K86" s="158"/>
      <c r="L86" s="158"/>
      <c r="M86" s="158"/>
      <c r="N86" s="158"/>
      <c r="O86" s="158"/>
      <c r="P86" s="158"/>
      <c r="Q86" s="158"/>
      <c r="R86" s="158"/>
      <c r="S86" s="158"/>
      <c r="T86" s="158"/>
      <c r="U86" s="158"/>
      <c r="V86" s="158"/>
      <c r="W86" s="158"/>
      <c r="X86" s="158"/>
      <c r="Y86" s="158"/>
      <c r="Z86" s="158"/>
      <c r="AA86" s="158"/>
      <c r="AB86" s="158"/>
      <c r="AC86" s="158"/>
      <c r="AD86" s="158"/>
      <c r="AE86" s="158"/>
    </row>
    <row r="87" spans="1:31" s="14" customFormat="1" outlineLevel="1" x14ac:dyDescent="0.25">
      <c r="A87" s="23" t="s">
        <v>1721</v>
      </c>
      <c r="B87" s="24" t="s">
        <v>1877</v>
      </c>
      <c r="C87" s="190" t="s">
        <v>6</v>
      </c>
      <c r="D87" s="118">
        <f t="shared" si="12"/>
        <v>1714.1666666666665</v>
      </c>
      <c r="E87" s="118">
        <f t="shared" si="14"/>
        <v>342.83333333333337</v>
      </c>
      <c r="F87" s="118">
        <f t="shared" si="13"/>
        <v>2057</v>
      </c>
      <c r="G87" s="123">
        <v>1898</v>
      </c>
      <c r="H87" s="304">
        <f t="shared" si="9"/>
        <v>2057.4320000000002</v>
      </c>
      <c r="I87" s="304">
        <f t="shared" si="15"/>
        <v>2057</v>
      </c>
      <c r="J87" s="158"/>
      <c r="K87" s="158"/>
      <c r="L87" s="158"/>
      <c r="M87" s="158"/>
      <c r="N87" s="158"/>
      <c r="O87" s="158"/>
      <c r="P87" s="158"/>
      <c r="Q87" s="158"/>
      <c r="R87" s="158"/>
      <c r="S87" s="158"/>
      <c r="T87" s="158"/>
      <c r="U87" s="158"/>
      <c r="V87" s="158"/>
      <c r="W87" s="158"/>
      <c r="X87" s="158"/>
      <c r="Y87" s="158"/>
      <c r="Z87" s="158"/>
      <c r="AA87" s="158"/>
      <c r="AB87" s="158"/>
      <c r="AC87" s="158"/>
      <c r="AD87" s="158"/>
      <c r="AE87" s="158"/>
    </row>
    <row r="88" spans="1:31" s="14" customFormat="1" ht="31.5" outlineLevel="1" x14ac:dyDescent="0.25">
      <c r="A88" s="23" t="s">
        <v>1722</v>
      </c>
      <c r="B88" s="24" t="s">
        <v>1878</v>
      </c>
      <c r="C88" s="190" t="s">
        <v>6</v>
      </c>
      <c r="D88" s="118">
        <f t="shared" si="12"/>
        <v>1663.3333333333333</v>
      </c>
      <c r="E88" s="118">
        <f t="shared" si="14"/>
        <v>332.66666666666674</v>
      </c>
      <c r="F88" s="118">
        <f t="shared" si="13"/>
        <v>1996</v>
      </c>
      <c r="G88" s="123">
        <v>1841</v>
      </c>
      <c r="H88" s="304">
        <f t="shared" si="9"/>
        <v>1995.6440000000002</v>
      </c>
      <c r="I88" s="304">
        <f t="shared" si="15"/>
        <v>1996</v>
      </c>
      <c r="J88" s="158"/>
      <c r="K88" s="158"/>
      <c r="L88" s="158"/>
      <c r="M88" s="158"/>
      <c r="N88" s="158"/>
      <c r="O88" s="158"/>
      <c r="P88" s="158"/>
      <c r="Q88" s="158"/>
      <c r="R88" s="158"/>
      <c r="S88" s="158"/>
      <c r="T88" s="158"/>
      <c r="U88" s="158"/>
      <c r="V88" s="158"/>
      <c r="W88" s="158"/>
      <c r="X88" s="158"/>
      <c r="Y88" s="158"/>
      <c r="Z88" s="158"/>
      <c r="AA88" s="158"/>
      <c r="AB88" s="158"/>
      <c r="AC88" s="158"/>
      <c r="AD88" s="158"/>
      <c r="AE88" s="158"/>
    </row>
    <row r="89" spans="1:31" s="14" customFormat="1" ht="31.5" outlineLevel="1" x14ac:dyDescent="0.25">
      <c r="A89" s="23" t="s">
        <v>1723</v>
      </c>
      <c r="B89" s="24" t="s">
        <v>1879</v>
      </c>
      <c r="C89" s="190" t="s">
        <v>6</v>
      </c>
      <c r="D89" s="118">
        <f t="shared" si="12"/>
        <v>1583.3333333333333</v>
      </c>
      <c r="E89" s="118">
        <f t="shared" si="14"/>
        <v>316.66666666666674</v>
      </c>
      <c r="F89" s="118">
        <f t="shared" si="13"/>
        <v>1900</v>
      </c>
      <c r="G89" s="123">
        <v>1753</v>
      </c>
      <c r="H89" s="304">
        <f t="shared" si="9"/>
        <v>1900.2520000000002</v>
      </c>
      <c r="I89" s="304">
        <f t="shared" si="15"/>
        <v>1900</v>
      </c>
      <c r="J89" s="158"/>
      <c r="K89" s="158"/>
      <c r="L89" s="158"/>
      <c r="M89" s="158"/>
      <c r="N89" s="158"/>
      <c r="O89" s="158"/>
      <c r="P89" s="158"/>
      <c r="Q89" s="158"/>
      <c r="R89" s="158"/>
      <c r="S89" s="158"/>
      <c r="T89" s="158"/>
      <c r="U89" s="158"/>
      <c r="V89" s="158"/>
      <c r="W89" s="158"/>
      <c r="X89" s="158"/>
      <c r="Y89" s="158"/>
      <c r="Z89" s="158"/>
      <c r="AA89" s="158"/>
      <c r="AB89" s="158"/>
      <c r="AC89" s="158"/>
      <c r="AD89" s="158"/>
      <c r="AE89" s="158"/>
    </row>
    <row r="90" spans="1:31" s="14" customFormat="1" outlineLevel="1" x14ac:dyDescent="0.25">
      <c r="A90" s="23" t="s">
        <v>1843</v>
      </c>
      <c r="B90" s="24" t="s">
        <v>1880</v>
      </c>
      <c r="C90" s="193" t="s">
        <v>6</v>
      </c>
      <c r="D90" s="118">
        <f t="shared" si="12"/>
        <v>2763.333333333333</v>
      </c>
      <c r="E90" s="118">
        <f t="shared" si="14"/>
        <v>552.66666666666674</v>
      </c>
      <c r="F90" s="118">
        <f t="shared" si="13"/>
        <v>3316</v>
      </c>
      <c r="G90" s="123">
        <v>3059</v>
      </c>
      <c r="H90" s="304">
        <f t="shared" si="9"/>
        <v>3315.9560000000001</v>
      </c>
      <c r="I90" s="304">
        <f t="shared" si="15"/>
        <v>3316</v>
      </c>
      <c r="J90" s="158"/>
      <c r="K90" s="158"/>
      <c r="L90" s="158"/>
      <c r="M90" s="158"/>
      <c r="N90" s="158"/>
      <c r="O90" s="158"/>
      <c r="P90" s="158"/>
      <c r="Q90" s="158"/>
      <c r="R90" s="158"/>
      <c r="S90" s="158"/>
      <c r="T90" s="158"/>
      <c r="U90" s="158"/>
      <c r="V90" s="158"/>
      <c r="W90" s="158"/>
      <c r="X90" s="158"/>
      <c r="Y90" s="158"/>
      <c r="Z90" s="158"/>
      <c r="AA90" s="158"/>
      <c r="AB90" s="158"/>
      <c r="AC90" s="158"/>
      <c r="AD90" s="158"/>
      <c r="AE90" s="158"/>
    </row>
    <row r="91" spans="1:31" s="14" customFormat="1" ht="31.5" outlineLevel="1" x14ac:dyDescent="0.25">
      <c r="A91" s="23" t="s">
        <v>1881</v>
      </c>
      <c r="B91" s="24" t="s">
        <v>1882</v>
      </c>
      <c r="C91" s="202" t="s">
        <v>6</v>
      </c>
      <c r="D91" s="118">
        <f t="shared" si="12"/>
        <v>1686.6666666666665</v>
      </c>
      <c r="E91" s="118">
        <f t="shared" si="14"/>
        <v>337.33333333333337</v>
      </c>
      <c r="F91" s="118">
        <f t="shared" si="13"/>
        <v>2024</v>
      </c>
      <c r="G91" s="123">
        <v>1867</v>
      </c>
      <c r="H91" s="304">
        <f t="shared" si="9"/>
        <v>2023.8280000000002</v>
      </c>
      <c r="I91" s="304">
        <f t="shared" si="15"/>
        <v>2024</v>
      </c>
      <c r="J91" s="158"/>
      <c r="K91" s="158"/>
      <c r="L91" s="158"/>
      <c r="M91" s="158"/>
      <c r="N91" s="158"/>
      <c r="O91" s="158"/>
      <c r="P91" s="158"/>
      <c r="Q91" s="158"/>
      <c r="R91" s="158"/>
      <c r="S91" s="158"/>
      <c r="T91" s="158"/>
      <c r="U91" s="158"/>
      <c r="V91" s="158"/>
      <c r="W91" s="158"/>
      <c r="X91" s="158"/>
      <c r="Y91" s="158"/>
      <c r="Z91" s="158"/>
      <c r="AA91" s="158"/>
      <c r="AB91" s="158"/>
      <c r="AC91" s="158"/>
      <c r="AD91" s="158"/>
      <c r="AE91" s="158"/>
    </row>
    <row r="92" spans="1:31" s="14" customFormat="1" outlineLevel="1" x14ac:dyDescent="0.25">
      <c r="A92" s="23" t="s">
        <v>3259</v>
      </c>
      <c r="B92" s="24" t="s">
        <v>3257</v>
      </c>
      <c r="C92" s="277" t="s">
        <v>6</v>
      </c>
      <c r="D92" s="118">
        <f t="shared" si="12"/>
        <v>2516.6666666666665</v>
      </c>
      <c r="E92" s="118">
        <f t="shared" si="14"/>
        <v>503.33333333333343</v>
      </c>
      <c r="F92" s="118">
        <f>G92</f>
        <v>3020</v>
      </c>
      <c r="G92" s="123">
        <v>3020</v>
      </c>
      <c r="H92" s="304">
        <f t="shared" si="9"/>
        <v>3273.6800000000003</v>
      </c>
      <c r="I92" s="304">
        <f t="shared" si="15"/>
        <v>3274</v>
      </c>
      <c r="J92" s="158" t="s">
        <v>3255</v>
      </c>
      <c r="K92" s="158"/>
      <c r="M92" s="158"/>
      <c r="N92" s="158"/>
      <c r="O92" s="158"/>
      <c r="P92" s="158"/>
      <c r="Q92" s="158"/>
      <c r="R92" s="158"/>
      <c r="S92" s="158"/>
      <c r="T92" s="158"/>
      <c r="U92" s="158"/>
      <c r="V92" s="158"/>
      <c r="W92" s="158"/>
      <c r="X92" s="158"/>
      <c r="Y92" s="158"/>
      <c r="Z92" s="158"/>
      <c r="AA92" s="158"/>
      <c r="AB92" s="158"/>
      <c r="AC92" s="158"/>
      <c r="AD92" s="158"/>
      <c r="AE92" s="158"/>
    </row>
    <row r="93" spans="1:31" s="14" customFormat="1" outlineLevel="1" x14ac:dyDescent="0.25">
      <c r="A93" s="23" t="s">
        <v>3260</v>
      </c>
      <c r="B93" s="24" t="s">
        <v>3258</v>
      </c>
      <c r="C93" s="277" t="s">
        <v>6</v>
      </c>
      <c r="D93" s="118">
        <f t="shared" si="12"/>
        <v>2500</v>
      </c>
      <c r="E93" s="118">
        <f t="shared" si="14"/>
        <v>500</v>
      </c>
      <c r="F93" s="118">
        <f>G93</f>
        <v>3000</v>
      </c>
      <c r="G93" s="123">
        <v>3000</v>
      </c>
      <c r="H93" s="304">
        <f t="shared" si="9"/>
        <v>3252</v>
      </c>
      <c r="I93" s="304">
        <f t="shared" si="15"/>
        <v>3252</v>
      </c>
      <c r="J93" s="158" t="s">
        <v>3256</v>
      </c>
      <c r="K93" s="158"/>
      <c r="M93" s="158"/>
      <c r="N93" s="158"/>
      <c r="O93" s="158"/>
      <c r="P93" s="158"/>
      <c r="Q93" s="158"/>
      <c r="R93" s="158"/>
      <c r="S93" s="158"/>
      <c r="T93" s="158"/>
      <c r="U93" s="158"/>
      <c r="V93" s="158"/>
      <c r="W93" s="158"/>
      <c r="X93" s="158"/>
      <c r="Y93" s="158"/>
      <c r="Z93" s="158"/>
      <c r="AA93" s="158"/>
      <c r="AB93" s="158"/>
      <c r="AC93" s="158"/>
      <c r="AD93" s="158"/>
      <c r="AE93" s="158"/>
    </row>
    <row r="94" spans="1:31" s="14" customFormat="1" ht="38.25" outlineLevel="1" x14ac:dyDescent="0.25">
      <c r="A94" s="23" t="s">
        <v>3788</v>
      </c>
      <c r="B94" s="24" t="s">
        <v>3789</v>
      </c>
      <c r="C94" s="378" t="s">
        <v>3790</v>
      </c>
      <c r="D94" s="118">
        <f t="shared" si="12"/>
        <v>8615</v>
      </c>
      <c r="E94" s="118">
        <f t="shared" si="14"/>
        <v>1723</v>
      </c>
      <c r="F94" s="118">
        <v>10338</v>
      </c>
      <c r="G94" s="379"/>
      <c r="H94" s="304"/>
      <c r="I94" s="304"/>
      <c r="J94" s="158"/>
      <c r="K94" s="158"/>
      <c r="M94" s="158"/>
      <c r="N94" s="158"/>
      <c r="O94" s="158"/>
      <c r="P94" s="158"/>
      <c r="Q94" s="158"/>
      <c r="R94" s="158"/>
      <c r="S94" s="158"/>
      <c r="T94" s="158"/>
      <c r="U94" s="158"/>
      <c r="V94" s="158"/>
      <c r="W94" s="158"/>
      <c r="X94" s="158"/>
      <c r="Y94" s="158"/>
      <c r="Z94" s="158"/>
      <c r="AA94" s="158"/>
      <c r="AB94" s="158"/>
      <c r="AC94" s="158"/>
      <c r="AD94" s="158"/>
      <c r="AE94" s="158"/>
    </row>
    <row r="95" spans="1:31" s="14" customFormat="1" ht="18.75" x14ac:dyDescent="0.25">
      <c r="A95" s="398" t="s">
        <v>319</v>
      </c>
      <c r="B95" s="399"/>
      <c r="C95" s="399"/>
      <c r="D95" s="399"/>
      <c r="E95" s="399"/>
      <c r="F95" s="399"/>
      <c r="G95" s="400"/>
      <c r="H95" s="306"/>
      <c r="I95" s="306"/>
      <c r="J95" s="158"/>
      <c r="K95" s="158"/>
      <c r="L95" s="158"/>
      <c r="M95" s="158"/>
      <c r="N95" s="158"/>
      <c r="O95" s="158"/>
      <c r="P95" s="158"/>
      <c r="Q95" s="158"/>
      <c r="R95" s="158"/>
      <c r="S95" s="158"/>
      <c r="T95" s="158"/>
      <c r="U95" s="158"/>
      <c r="V95" s="158"/>
      <c r="W95" s="158"/>
      <c r="X95" s="158"/>
      <c r="Y95" s="158"/>
      <c r="Z95" s="158"/>
      <c r="AA95" s="158"/>
      <c r="AB95" s="158"/>
      <c r="AC95" s="158"/>
      <c r="AD95" s="158"/>
      <c r="AE95" s="158"/>
    </row>
    <row r="96" spans="1:31" s="14" customFormat="1" outlineLevel="1" x14ac:dyDescent="0.25">
      <c r="A96" s="36" t="s">
        <v>84</v>
      </c>
      <c r="B96" s="37" t="s">
        <v>85</v>
      </c>
      <c r="C96" s="107" t="s">
        <v>6</v>
      </c>
      <c r="D96" s="118">
        <f t="shared" ref="D96:D101" si="16">F96-E96</f>
        <v>235</v>
      </c>
      <c r="E96" s="118">
        <f t="shared" si="14"/>
        <v>47</v>
      </c>
      <c r="F96" s="118">
        <f t="shared" ref="F96:F101" si="17">I96</f>
        <v>282</v>
      </c>
      <c r="G96" s="118">
        <v>260</v>
      </c>
      <c r="H96" s="304">
        <f t="shared" si="9"/>
        <v>281.84000000000003</v>
      </c>
      <c r="I96" s="304">
        <f t="shared" si="15"/>
        <v>282</v>
      </c>
      <c r="J96" s="158"/>
      <c r="K96" s="158"/>
      <c r="L96" s="158"/>
      <c r="M96" s="158"/>
      <c r="N96" s="158"/>
      <c r="O96" s="158"/>
      <c r="P96" s="158"/>
      <c r="Q96" s="158"/>
      <c r="R96" s="158"/>
      <c r="S96" s="158"/>
      <c r="T96" s="158"/>
      <c r="U96" s="158"/>
      <c r="V96" s="158"/>
      <c r="W96" s="158"/>
      <c r="X96" s="158"/>
      <c r="Y96" s="158"/>
      <c r="Z96" s="158"/>
      <c r="AA96" s="158"/>
      <c r="AB96" s="158"/>
      <c r="AC96" s="158"/>
      <c r="AD96" s="158"/>
      <c r="AE96" s="158"/>
    </row>
    <row r="97" spans="1:31" s="14" customFormat="1" outlineLevel="1" x14ac:dyDescent="0.25">
      <c r="A97" s="23" t="s">
        <v>259</v>
      </c>
      <c r="B97" s="24" t="s">
        <v>87</v>
      </c>
      <c r="C97" s="107" t="s">
        <v>6</v>
      </c>
      <c r="D97" s="118">
        <f t="shared" si="16"/>
        <v>127.5</v>
      </c>
      <c r="E97" s="118">
        <f t="shared" si="14"/>
        <v>25.5</v>
      </c>
      <c r="F97" s="118">
        <f t="shared" si="17"/>
        <v>153</v>
      </c>
      <c r="G97" s="118">
        <v>141</v>
      </c>
      <c r="H97" s="304">
        <f t="shared" si="9"/>
        <v>152.84400000000002</v>
      </c>
      <c r="I97" s="304">
        <f t="shared" si="15"/>
        <v>153</v>
      </c>
      <c r="J97" s="158"/>
      <c r="K97" s="158"/>
      <c r="L97" s="158"/>
      <c r="M97" s="158"/>
      <c r="N97" s="158"/>
      <c r="O97" s="158"/>
      <c r="P97" s="158"/>
      <c r="Q97" s="158"/>
      <c r="R97" s="158"/>
      <c r="S97" s="158"/>
      <c r="T97" s="158"/>
      <c r="U97" s="158"/>
      <c r="V97" s="158"/>
      <c r="W97" s="158"/>
      <c r="X97" s="158"/>
      <c r="Y97" s="158"/>
      <c r="Z97" s="158"/>
      <c r="AA97" s="158"/>
      <c r="AB97" s="158"/>
      <c r="AC97" s="158"/>
      <c r="AD97" s="158"/>
      <c r="AE97" s="158"/>
    </row>
    <row r="98" spans="1:31" s="14" customFormat="1" outlineLevel="1" x14ac:dyDescent="0.25">
      <c r="A98" s="23" t="s">
        <v>86</v>
      </c>
      <c r="B98" s="24" t="s">
        <v>88</v>
      </c>
      <c r="C98" s="107" t="s">
        <v>6</v>
      </c>
      <c r="D98" s="118">
        <f t="shared" si="16"/>
        <v>127.5</v>
      </c>
      <c r="E98" s="118">
        <f t="shared" si="14"/>
        <v>25.5</v>
      </c>
      <c r="F98" s="118">
        <f t="shared" si="17"/>
        <v>153</v>
      </c>
      <c r="G98" s="118">
        <v>141</v>
      </c>
      <c r="H98" s="304">
        <f t="shared" si="9"/>
        <v>152.84400000000002</v>
      </c>
      <c r="I98" s="304">
        <f t="shared" si="15"/>
        <v>153</v>
      </c>
      <c r="J98" s="158"/>
      <c r="K98" s="158"/>
      <c r="L98" s="158"/>
      <c r="M98" s="158"/>
      <c r="N98" s="158"/>
      <c r="O98" s="158"/>
      <c r="P98" s="158"/>
      <c r="Q98" s="158"/>
      <c r="R98" s="158"/>
      <c r="S98" s="158"/>
      <c r="T98" s="158"/>
      <c r="U98" s="158"/>
      <c r="V98" s="158"/>
      <c r="W98" s="158"/>
      <c r="X98" s="158"/>
      <c r="Y98" s="158"/>
      <c r="Z98" s="158"/>
      <c r="AA98" s="158"/>
      <c r="AB98" s="158"/>
      <c r="AC98" s="158"/>
      <c r="AD98" s="158"/>
      <c r="AE98" s="158"/>
    </row>
    <row r="99" spans="1:31" s="14" customFormat="1" outlineLevel="1" x14ac:dyDescent="0.25">
      <c r="A99" s="23" t="s">
        <v>290</v>
      </c>
      <c r="B99" s="24" t="s">
        <v>89</v>
      </c>
      <c r="C99" s="107" t="s">
        <v>6</v>
      </c>
      <c r="D99" s="118">
        <f t="shared" si="16"/>
        <v>191.66666666666666</v>
      </c>
      <c r="E99" s="118">
        <f t="shared" si="14"/>
        <v>38.333333333333336</v>
      </c>
      <c r="F99" s="118">
        <f t="shared" si="17"/>
        <v>230</v>
      </c>
      <c r="G99" s="118">
        <v>212</v>
      </c>
      <c r="H99" s="304">
        <f t="shared" si="9"/>
        <v>229.80800000000002</v>
      </c>
      <c r="I99" s="304">
        <f t="shared" si="15"/>
        <v>230</v>
      </c>
      <c r="J99" s="158"/>
      <c r="K99" s="158"/>
      <c r="L99" s="158"/>
      <c r="M99" s="158"/>
      <c r="N99" s="158"/>
      <c r="O99" s="158"/>
      <c r="P99" s="158"/>
      <c r="Q99" s="158"/>
      <c r="R99" s="158"/>
      <c r="S99" s="158"/>
      <c r="T99" s="158"/>
      <c r="U99" s="158"/>
      <c r="V99" s="158"/>
      <c r="W99" s="158"/>
      <c r="X99" s="158"/>
      <c r="Y99" s="158"/>
      <c r="Z99" s="158"/>
      <c r="AA99" s="158"/>
      <c r="AB99" s="158"/>
      <c r="AC99" s="158"/>
      <c r="AD99" s="158"/>
      <c r="AE99" s="158"/>
    </row>
    <row r="100" spans="1:31" s="14" customFormat="1" outlineLevel="1" x14ac:dyDescent="0.25">
      <c r="A100" s="23" t="s">
        <v>291</v>
      </c>
      <c r="B100" s="24" t="s">
        <v>90</v>
      </c>
      <c r="C100" s="107" t="s">
        <v>6</v>
      </c>
      <c r="D100" s="118">
        <f t="shared" si="16"/>
        <v>191.66666666666666</v>
      </c>
      <c r="E100" s="118">
        <f t="shared" si="14"/>
        <v>38.333333333333336</v>
      </c>
      <c r="F100" s="118">
        <f t="shared" si="17"/>
        <v>230</v>
      </c>
      <c r="G100" s="118">
        <v>212</v>
      </c>
      <c r="H100" s="304">
        <f t="shared" si="9"/>
        <v>229.80800000000002</v>
      </c>
      <c r="I100" s="304">
        <f t="shared" si="15"/>
        <v>230</v>
      </c>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row>
    <row r="101" spans="1:31" s="14" customFormat="1" outlineLevel="1" x14ac:dyDescent="0.25">
      <c r="A101" s="33" t="s">
        <v>320</v>
      </c>
      <c r="B101" s="38" t="s">
        <v>275</v>
      </c>
      <c r="C101" s="107" t="s">
        <v>6</v>
      </c>
      <c r="D101" s="118">
        <f t="shared" si="16"/>
        <v>191.66666666666666</v>
      </c>
      <c r="E101" s="118">
        <f t="shared" si="14"/>
        <v>38.333333333333336</v>
      </c>
      <c r="F101" s="118">
        <f t="shared" si="17"/>
        <v>230</v>
      </c>
      <c r="G101" s="118">
        <v>212</v>
      </c>
      <c r="H101" s="304">
        <f t="shared" si="9"/>
        <v>229.80800000000002</v>
      </c>
      <c r="I101" s="304">
        <f t="shared" si="15"/>
        <v>230</v>
      </c>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row>
    <row r="102" spans="1:31" s="14" customFormat="1" ht="18.75" x14ac:dyDescent="0.25">
      <c r="A102" s="392" t="s">
        <v>321</v>
      </c>
      <c r="B102" s="393"/>
      <c r="C102" s="393"/>
      <c r="D102" s="393"/>
      <c r="E102" s="393"/>
      <c r="F102" s="393"/>
      <c r="G102" s="394"/>
      <c r="H102" s="307"/>
      <c r="I102" s="307"/>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row>
    <row r="103" spans="1:31" s="14" customFormat="1" outlineLevel="1" x14ac:dyDescent="0.25">
      <c r="A103" s="109" t="s">
        <v>91</v>
      </c>
      <c r="B103" s="39" t="s">
        <v>240</v>
      </c>
      <c r="C103" s="107" t="s">
        <v>6</v>
      </c>
      <c r="D103" s="118">
        <f t="shared" ref="D103:D108" si="18">F103-E103</f>
        <v>116.66666666666666</v>
      </c>
      <c r="E103" s="118">
        <f t="shared" si="14"/>
        <v>23.333333333333336</v>
      </c>
      <c r="F103" s="118">
        <f t="shared" ref="F103:F108" si="19">I103</f>
        <v>140</v>
      </c>
      <c r="G103" s="118">
        <v>129</v>
      </c>
      <c r="H103" s="304">
        <f t="shared" si="9"/>
        <v>139.83600000000001</v>
      </c>
      <c r="I103" s="304">
        <f t="shared" si="15"/>
        <v>140</v>
      </c>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row>
    <row r="104" spans="1:31" s="14" customFormat="1" outlineLevel="1" x14ac:dyDescent="0.25">
      <c r="A104" s="25" t="s">
        <v>93</v>
      </c>
      <c r="B104" s="26" t="s">
        <v>241</v>
      </c>
      <c r="C104" s="107" t="s">
        <v>6</v>
      </c>
      <c r="D104" s="118">
        <f t="shared" si="18"/>
        <v>173.33333333333331</v>
      </c>
      <c r="E104" s="118">
        <f t="shared" si="14"/>
        <v>34.666666666666671</v>
      </c>
      <c r="F104" s="118">
        <f t="shared" si="19"/>
        <v>208</v>
      </c>
      <c r="G104" s="118">
        <v>192</v>
      </c>
      <c r="H104" s="304">
        <f t="shared" si="9"/>
        <v>208.12800000000001</v>
      </c>
      <c r="I104" s="304">
        <f t="shared" si="15"/>
        <v>208</v>
      </c>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row>
    <row r="105" spans="1:31" s="14" customFormat="1" outlineLevel="1" x14ac:dyDescent="0.25">
      <c r="A105" s="25" t="s">
        <v>94</v>
      </c>
      <c r="B105" s="26" t="s">
        <v>242</v>
      </c>
      <c r="C105" s="107" t="s">
        <v>6</v>
      </c>
      <c r="D105" s="118">
        <f t="shared" si="18"/>
        <v>181.66666666666666</v>
      </c>
      <c r="E105" s="118">
        <f t="shared" si="14"/>
        <v>36.333333333333336</v>
      </c>
      <c r="F105" s="118">
        <f t="shared" si="19"/>
        <v>218</v>
      </c>
      <c r="G105" s="118">
        <v>201</v>
      </c>
      <c r="H105" s="304">
        <f t="shared" si="9"/>
        <v>217.88400000000001</v>
      </c>
      <c r="I105" s="304">
        <f t="shared" si="15"/>
        <v>218</v>
      </c>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row>
    <row r="106" spans="1:31" s="14" customFormat="1" outlineLevel="1" x14ac:dyDescent="0.25">
      <c r="A106" s="25" t="s">
        <v>1515</v>
      </c>
      <c r="B106" s="26" t="s">
        <v>1516</v>
      </c>
      <c r="C106" s="147" t="s">
        <v>6</v>
      </c>
      <c r="D106" s="118">
        <f t="shared" si="18"/>
        <v>675.83333333333326</v>
      </c>
      <c r="E106" s="118">
        <f t="shared" si="14"/>
        <v>135.16666666666669</v>
      </c>
      <c r="F106" s="118">
        <f t="shared" si="19"/>
        <v>811</v>
      </c>
      <c r="G106" s="118">
        <v>748</v>
      </c>
      <c r="H106" s="304">
        <f t="shared" ref="H106:H108" si="20">G106*$H$8</f>
        <v>810.83200000000011</v>
      </c>
      <c r="I106" s="304">
        <f t="shared" si="15"/>
        <v>811</v>
      </c>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row>
    <row r="107" spans="1:31" s="14" customFormat="1" outlineLevel="1" x14ac:dyDescent="0.25">
      <c r="A107" s="25" t="s">
        <v>284</v>
      </c>
      <c r="B107" s="26" t="s">
        <v>35</v>
      </c>
      <c r="C107" s="107" t="s">
        <v>6</v>
      </c>
      <c r="D107" s="118">
        <f t="shared" si="18"/>
        <v>231.66666666666666</v>
      </c>
      <c r="E107" s="118">
        <f t="shared" si="14"/>
        <v>46.333333333333343</v>
      </c>
      <c r="F107" s="118">
        <f t="shared" si="19"/>
        <v>278</v>
      </c>
      <c r="G107" s="118">
        <v>256</v>
      </c>
      <c r="H107" s="304">
        <f t="shared" si="20"/>
        <v>277.50400000000002</v>
      </c>
      <c r="I107" s="304">
        <f t="shared" si="15"/>
        <v>278</v>
      </c>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row>
    <row r="108" spans="1:31" s="14" customFormat="1" outlineLevel="1" x14ac:dyDescent="0.25">
      <c r="A108" s="108" t="s">
        <v>218</v>
      </c>
      <c r="B108" s="40" t="s">
        <v>289</v>
      </c>
      <c r="C108" s="107" t="s">
        <v>6</v>
      </c>
      <c r="D108" s="118">
        <f t="shared" si="18"/>
        <v>173.33333333333331</v>
      </c>
      <c r="E108" s="118">
        <f t="shared" si="14"/>
        <v>34.666666666666671</v>
      </c>
      <c r="F108" s="118">
        <f t="shared" si="19"/>
        <v>208</v>
      </c>
      <c r="G108" s="118">
        <v>192</v>
      </c>
      <c r="H108" s="304">
        <f t="shared" si="20"/>
        <v>208.12800000000001</v>
      </c>
      <c r="I108" s="304">
        <f t="shared" si="15"/>
        <v>208</v>
      </c>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row>
    <row r="109" spans="1:31" s="14" customFormat="1" ht="18.75" x14ac:dyDescent="0.25">
      <c r="A109" s="398" t="s">
        <v>2108</v>
      </c>
      <c r="B109" s="399"/>
      <c r="C109" s="399"/>
      <c r="D109" s="399"/>
      <c r="E109" s="399"/>
      <c r="F109" s="399"/>
      <c r="G109" s="400"/>
      <c r="H109" s="306"/>
      <c r="I109" s="306"/>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row>
    <row r="110" spans="1:31" s="14" customFormat="1" ht="31.5" outlineLevel="1" x14ac:dyDescent="0.25">
      <c r="A110" s="36" t="s">
        <v>96</v>
      </c>
      <c r="B110" s="37" t="s">
        <v>3786</v>
      </c>
      <c r="C110" s="107" t="s">
        <v>6</v>
      </c>
      <c r="D110" s="118">
        <f t="shared" ref="D110:D116" si="21">F110-E110</f>
        <v>581.66666666666663</v>
      </c>
      <c r="E110" s="118">
        <f t="shared" ref="E110:E116" si="22">F110/1.2*0.2</f>
        <v>116.33333333333336</v>
      </c>
      <c r="F110" s="118">
        <f t="shared" ref="F110:F116" si="23">I110</f>
        <v>698</v>
      </c>
      <c r="G110" s="118">
        <v>644</v>
      </c>
      <c r="H110" s="304">
        <f t="shared" ref="H110:H116" si="24">G110*$H$8</f>
        <v>698.096</v>
      </c>
      <c r="I110" s="304">
        <f t="shared" si="15"/>
        <v>698</v>
      </c>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row>
    <row r="111" spans="1:31" s="14" customFormat="1" outlineLevel="1" x14ac:dyDescent="0.25">
      <c r="A111" s="23" t="s">
        <v>97</v>
      </c>
      <c r="B111" s="24" t="s">
        <v>243</v>
      </c>
      <c r="C111" s="107" t="s">
        <v>6</v>
      </c>
      <c r="D111" s="118">
        <f t="shared" si="21"/>
        <v>265</v>
      </c>
      <c r="E111" s="118">
        <f t="shared" si="22"/>
        <v>53</v>
      </c>
      <c r="F111" s="118">
        <f t="shared" si="23"/>
        <v>318</v>
      </c>
      <c r="G111" s="118">
        <v>293</v>
      </c>
      <c r="H111" s="304">
        <f t="shared" si="24"/>
        <v>317.61200000000002</v>
      </c>
      <c r="I111" s="304">
        <f t="shared" si="15"/>
        <v>318</v>
      </c>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row>
    <row r="112" spans="1:31" s="14" customFormat="1" outlineLevel="1" x14ac:dyDescent="0.25">
      <c r="A112" s="23" t="s">
        <v>98</v>
      </c>
      <c r="B112" s="24" t="s">
        <v>202</v>
      </c>
      <c r="C112" s="107" t="s">
        <v>6</v>
      </c>
      <c r="D112" s="118">
        <f t="shared" si="21"/>
        <v>231.66666666666666</v>
      </c>
      <c r="E112" s="118">
        <f t="shared" si="22"/>
        <v>46.333333333333343</v>
      </c>
      <c r="F112" s="118">
        <f t="shared" si="23"/>
        <v>278</v>
      </c>
      <c r="G112" s="118">
        <v>256</v>
      </c>
      <c r="H112" s="304">
        <f t="shared" si="24"/>
        <v>277.50400000000002</v>
      </c>
      <c r="I112" s="304">
        <f t="shared" si="15"/>
        <v>278</v>
      </c>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row>
    <row r="113" spans="1:31" s="14" customFormat="1" outlineLevel="1" x14ac:dyDescent="0.25">
      <c r="A113" s="23" t="s">
        <v>216</v>
      </c>
      <c r="B113" s="24" t="s">
        <v>228</v>
      </c>
      <c r="C113" s="107" t="s">
        <v>6</v>
      </c>
      <c r="D113" s="118">
        <f t="shared" si="21"/>
        <v>213.33333333333331</v>
      </c>
      <c r="E113" s="118">
        <f t="shared" si="22"/>
        <v>42.666666666666671</v>
      </c>
      <c r="F113" s="118">
        <f t="shared" si="23"/>
        <v>256</v>
      </c>
      <c r="G113" s="118">
        <v>236</v>
      </c>
      <c r="H113" s="304">
        <f t="shared" si="24"/>
        <v>255.82400000000001</v>
      </c>
      <c r="I113" s="304">
        <f t="shared" si="15"/>
        <v>256</v>
      </c>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row>
    <row r="114" spans="1:31" s="14" customFormat="1" outlineLevel="1" x14ac:dyDescent="0.25">
      <c r="A114" s="33" t="s">
        <v>217</v>
      </c>
      <c r="B114" s="38" t="s">
        <v>247</v>
      </c>
      <c r="C114" s="107" t="s">
        <v>6</v>
      </c>
      <c r="D114" s="118">
        <f t="shared" si="21"/>
        <v>324.16666666666663</v>
      </c>
      <c r="E114" s="118">
        <f t="shared" si="22"/>
        <v>64.833333333333343</v>
      </c>
      <c r="F114" s="118">
        <f t="shared" si="23"/>
        <v>389</v>
      </c>
      <c r="G114" s="118">
        <v>359</v>
      </c>
      <c r="H114" s="304">
        <f t="shared" si="24"/>
        <v>389.15600000000001</v>
      </c>
      <c r="I114" s="304">
        <f t="shared" si="15"/>
        <v>389</v>
      </c>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row>
    <row r="115" spans="1:31" s="14" customFormat="1" outlineLevel="1" x14ac:dyDescent="0.25">
      <c r="A115" s="23" t="s">
        <v>274</v>
      </c>
      <c r="B115" s="24" t="s">
        <v>403</v>
      </c>
      <c r="C115" s="107" t="s">
        <v>6</v>
      </c>
      <c r="D115" s="118">
        <f t="shared" si="21"/>
        <v>235.83333333333331</v>
      </c>
      <c r="E115" s="118">
        <f t="shared" si="22"/>
        <v>47.166666666666671</v>
      </c>
      <c r="F115" s="118">
        <f t="shared" si="23"/>
        <v>283</v>
      </c>
      <c r="G115" s="118">
        <v>261</v>
      </c>
      <c r="H115" s="304">
        <f t="shared" si="24"/>
        <v>282.92400000000004</v>
      </c>
      <c r="I115" s="304">
        <f t="shared" si="15"/>
        <v>283</v>
      </c>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row>
    <row r="116" spans="1:31" s="14" customFormat="1" outlineLevel="1" x14ac:dyDescent="0.25">
      <c r="A116" s="23" t="s">
        <v>452</v>
      </c>
      <c r="B116" s="65" t="s">
        <v>451</v>
      </c>
      <c r="C116" s="107" t="s">
        <v>6</v>
      </c>
      <c r="D116" s="118">
        <f t="shared" si="21"/>
        <v>289.16666666666663</v>
      </c>
      <c r="E116" s="118">
        <f t="shared" si="22"/>
        <v>57.833333333333343</v>
      </c>
      <c r="F116" s="118">
        <f t="shared" si="23"/>
        <v>347</v>
      </c>
      <c r="G116" s="118">
        <v>320</v>
      </c>
      <c r="H116" s="304">
        <f t="shared" si="24"/>
        <v>346.88</v>
      </c>
      <c r="I116" s="304">
        <f t="shared" si="15"/>
        <v>347</v>
      </c>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row>
    <row r="117" spans="1:31" s="14" customFormat="1" ht="18.75" x14ac:dyDescent="0.25">
      <c r="A117" s="398" t="s">
        <v>322</v>
      </c>
      <c r="B117" s="399"/>
      <c r="C117" s="399"/>
      <c r="D117" s="399"/>
      <c r="E117" s="399"/>
      <c r="F117" s="399"/>
      <c r="G117" s="400"/>
      <c r="H117" s="306"/>
      <c r="I117" s="306"/>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row>
    <row r="118" spans="1:31" s="14" customFormat="1" outlineLevel="1" x14ac:dyDescent="0.25">
      <c r="A118" s="36" t="s">
        <v>99</v>
      </c>
      <c r="B118" s="37" t="s">
        <v>92</v>
      </c>
      <c r="C118" s="107" t="s">
        <v>6</v>
      </c>
      <c r="D118" s="118">
        <f t="shared" ref="D118:D125" si="25">F118-E118</f>
        <v>385.83333333333331</v>
      </c>
      <c r="E118" s="118">
        <f t="shared" ref="E118:E125" si="26">F118/1.2*0.2</f>
        <v>77.166666666666686</v>
      </c>
      <c r="F118" s="118">
        <f t="shared" ref="F118:F125" si="27">I118</f>
        <v>463</v>
      </c>
      <c r="G118" s="118">
        <v>427</v>
      </c>
      <c r="H118" s="304">
        <f t="shared" ref="H118:H125" si="28">G118*$H$8</f>
        <v>462.86800000000005</v>
      </c>
      <c r="I118" s="304">
        <f t="shared" ref="I118:I125" si="29">ROUND(H118,0)</f>
        <v>463</v>
      </c>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row>
    <row r="119" spans="1:31" s="14" customFormat="1" outlineLevel="1" x14ac:dyDescent="0.25">
      <c r="A119" s="36" t="s">
        <v>100</v>
      </c>
      <c r="B119" s="24" t="s">
        <v>95</v>
      </c>
      <c r="C119" s="107" t="s">
        <v>6</v>
      </c>
      <c r="D119" s="118">
        <f t="shared" si="25"/>
        <v>424.16666666666663</v>
      </c>
      <c r="E119" s="118">
        <f t="shared" si="26"/>
        <v>84.833333333333343</v>
      </c>
      <c r="F119" s="118">
        <f t="shared" si="27"/>
        <v>509</v>
      </c>
      <c r="G119" s="118">
        <v>470</v>
      </c>
      <c r="H119" s="304">
        <f t="shared" si="28"/>
        <v>509.48</v>
      </c>
      <c r="I119" s="304">
        <f t="shared" si="29"/>
        <v>509</v>
      </c>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row>
    <row r="120" spans="1:31" s="14" customFormat="1" ht="31.5" outlineLevel="1" x14ac:dyDescent="0.25">
      <c r="A120" s="36" t="s">
        <v>102</v>
      </c>
      <c r="B120" s="24" t="s">
        <v>374</v>
      </c>
      <c r="C120" s="107" t="s">
        <v>6</v>
      </c>
      <c r="D120" s="118">
        <f t="shared" si="25"/>
        <v>173.33333333333331</v>
      </c>
      <c r="E120" s="118">
        <f t="shared" si="26"/>
        <v>34.666666666666671</v>
      </c>
      <c r="F120" s="118">
        <f t="shared" si="27"/>
        <v>208</v>
      </c>
      <c r="G120" s="118">
        <v>192</v>
      </c>
      <c r="H120" s="304">
        <f t="shared" si="28"/>
        <v>208.12800000000001</v>
      </c>
      <c r="I120" s="304">
        <f t="shared" si="29"/>
        <v>208</v>
      </c>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row>
    <row r="121" spans="1:31" s="14" customFormat="1" outlineLevel="1" x14ac:dyDescent="0.25">
      <c r="A121" s="23" t="s">
        <v>103</v>
      </c>
      <c r="B121" s="24" t="s">
        <v>375</v>
      </c>
      <c r="C121" s="107" t="s">
        <v>6</v>
      </c>
      <c r="D121" s="118">
        <f t="shared" si="25"/>
        <v>502.5</v>
      </c>
      <c r="E121" s="118">
        <f t="shared" si="26"/>
        <v>100.5</v>
      </c>
      <c r="F121" s="118">
        <f t="shared" si="27"/>
        <v>603</v>
      </c>
      <c r="G121" s="118">
        <v>556</v>
      </c>
      <c r="H121" s="304">
        <f t="shared" si="28"/>
        <v>602.70400000000006</v>
      </c>
      <c r="I121" s="304">
        <f t="shared" si="29"/>
        <v>603</v>
      </c>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row>
    <row r="122" spans="1:31" s="14" customFormat="1" outlineLevel="1" x14ac:dyDescent="0.25">
      <c r="A122" s="36" t="s">
        <v>104</v>
      </c>
      <c r="B122" s="38" t="s">
        <v>273</v>
      </c>
      <c r="C122" s="107" t="s">
        <v>6</v>
      </c>
      <c r="D122" s="118">
        <f t="shared" si="25"/>
        <v>181.66666666666666</v>
      </c>
      <c r="E122" s="118">
        <f t="shared" si="26"/>
        <v>36.333333333333336</v>
      </c>
      <c r="F122" s="118">
        <f t="shared" si="27"/>
        <v>218</v>
      </c>
      <c r="G122" s="118">
        <v>201</v>
      </c>
      <c r="H122" s="304">
        <f t="shared" si="28"/>
        <v>217.88400000000001</v>
      </c>
      <c r="I122" s="304">
        <f t="shared" si="29"/>
        <v>218</v>
      </c>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row>
    <row r="123" spans="1:31" s="14" customFormat="1" outlineLevel="1" x14ac:dyDescent="0.25">
      <c r="A123" s="36" t="s">
        <v>414</v>
      </c>
      <c r="B123" s="69" t="s">
        <v>415</v>
      </c>
      <c r="C123" s="107" t="s">
        <v>6</v>
      </c>
      <c r="D123" s="118">
        <f t="shared" si="25"/>
        <v>173.33333333333331</v>
      </c>
      <c r="E123" s="118">
        <f t="shared" si="26"/>
        <v>34.666666666666671</v>
      </c>
      <c r="F123" s="118">
        <f t="shared" si="27"/>
        <v>208</v>
      </c>
      <c r="G123" s="118">
        <v>192</v>
      </c>
      <c r="H123" s="304">
        <f t="shared" si="28"/>
        <v>208.12800000000001</v>
      </c>
      <c r="I123" s="304">
        <f t="shared" si="29"/>
        <v>208</v>
      </c>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row>
    <row r="124" spans="1:31" s="14" customFormat="1" outlineLevel="1" x14ac:dyDescent="0.25">
      <c r="A124" s="36" t="s">
        <v>2063</v>
      </c>
      <c r="B124" s="24" t="s">
        <v>3064</v>
      </c>
      <c r="C124" s="223" t="s">
        <v>6</v>
      </c>
      <c r="D124" s="118">
        <f t="shared" si="25"/>
        <v>180.83333333333331</v>
      </c>
      <c r="E124" s="118">
        <f t="shared" si="26"/>
        <v>36.166666666666671</v>
      </c>
      <c r="F124" s="118">
        <f t="shared" si="27"/>
        <v>217</v>
      </c>
      <c r="G124" s="118">
        <v>200</v>
      </c>
      <c r="H124" s="304">
        <f t="shared" si="28"/>
        <v>216.8</v>
      </c>
      <c r="I124" s="304">
        <f t="shared" si="29"/>
        <v>217</v>
      </c>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row>
    <row r="125" spans="1:31" s="14" customFormat="1" outlineLevel="1" x14ac:dyDescent="0.25">
      <c r="A125" s="23" t="s">
        <v>2064</v>
      </c>
      <c r="B125" s="24" t="s">
        <v>3065</v>
      </c>
      <c r="C125" s="223" t="s">
        <v>6</v>
      </c>
      <c r="D125" s="118">
        <f t="shared" si="25"/>
        <v>180.83333333333331</v>
      </c>
      <c r="E125" s="118">
        <f t="shared" si="26"/>
        <v>36.166666666666671</v>
      </c>
      <c r="F125" s="118">
        <f t="shared" si="27"/>
        <v>217</v>
      </c>
      <c r="G125" s="118">
        <v>200</v>
      </c>
      <c r="H125" s="304">
        <f t="shared" si="28"/>
        <v>216.8</v>
      </c>
      <c r="I125" s="304">
        <f t="shared" si="29"/>
        <v>217</v>
      </c>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row>
    <row r="126" spans="1:31" s="14" customFormat="1" ht="18.75" x14ac:dyDescent="0.25">
      <c r="A126" s="398" t="s">
        <v>323</v>
      </c>
      <c r="B126" s="399"/>
      <c r="C126" s="399"/>
      <c r="D126" s="399"/>
      <c r="E126" s="399"/>
      <c r="F126" s="399"/>
      <c r="G126" s="400"/>
      <c r="H126" s="306"/>
      <c r="I126" s="306"/>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row>
    <row r="127" spans="1:31" s="14" customFormat="1" outlineLevel="1" x14ac:dyDescent="0.25">
      <c r="A127" s="36" t="s">
        <v>117</v>
      </c>
      <c r="B127" s="37" t="s">
        <v>38</v>
      </c>
      <c r="C127" s="107" t="s">
        <v>6</v>
      </c>
      <c r="D127" s="118">
        <f t="shared" ref="D127:D161" si="30">F127-E127</f>
        <v>116.66666666666666</v>
      </c>
      <c r="E127" s="118">
        <f t="shared" ref="E127:E161" si="31">F127/1.2*0.2</f>
        <v>23.333333333333336</v>
      </c>
      <c r="F127" s="118">
        <f t="shared" ref="F127:F161" si="32">I127</f>
        <v>140</v>
      </c>
      <c r="G127" s="118">
        <v>129</v>
      </c>
      <c r="H127" s="304">
        <f t="shared" ref="H127:H161" si="33">G127*$H$8</f>
        <v>139.83600000000001</v>
      </c>
      <c r="I127" s="304">
        <f t="shared" ref="I127:I161" si="34">ROUND(H127,0)</f>
        <v>140</v>
      </c>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row>
    <row r="128" spans="1:31" s="14" customFormat="1" outlineLevel="1" x14ac:dyDescent="0.25">
      <c r="A128" s="36" t="s">
        <v>118</v>
      </c>
      <c r="B128" s="24" t="s">
        <v>40</v>
      </c>
      <c r="C128" s="107" t="s">
        <v>6</v>
      </c>
      <c r="D128" s="118">
        <f t="shared" si="30"/>
        <v>116.66666666666666</v>
      </c>
      <c r="E128" s="118">
        <f t="shared" si="31"/>
        <v>23.333333333333336</v>
      </c>
      <c r="F128" s="118">
        <f t="shared" si="32"/>
        <v>140</v>
      </c>
      <c r="G128" s="118">
        <v>129</v>
      </c>
      <c r="H128" s="304">
        <f t="shared" si="33"/>
        <v>139.83600000000001</v>
      </c>
      <c r="I128" s="304">
        <f t="shared" si="34"/>
        <v>140</v>
      </c>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row>
    <row r="129" spans="1:31" s="14" customFormat="1" outlineLevel="1" x14ac:dyDescent="0.25">
      <c r="A129" s="36" t="s">
        <v>285</v>
      </c>
      <c r="B129" s="24" t="s">
        <v>42</v>
      </c>
      <c r="C129" s="107" t="s">
        <v>6</v>
      </c>
      <c r="D129" s="118">
        <f t="shared" si="30"/>
        <v>116.66666666666666</v>
      </c>
      <c r="E129" s="118">
        <f t="shared" si="31"/>
        <v>23.333333333333336</v>
      </c>
      <c r="F129" s="118">
        <f t="shared" si="32"/>
        <v>140</v>
      </c>
      <c r="G129" s="118">
        <v>129</v>
      </c>
      <c r="H129" s="304">
        <f t="shared" si="33"/>
        <v>139.83600000000001</v>
      </c>
      <c r="I129" s="304">
        <f t="shared" si="34"/>
        <v>140</v>
      </c>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row>
    <row r="130" spans="1:31" s="14" customFormat="1" outlineLevel="1" x14ac:dyDescent="0.25">
      <c r="A130" s="36" t="s">
        <v>120</v>
      </c>
      <c r="B130" s="24" t="s">
        <v>43</v>
      </c>
      <c r="C130" s="107" t="s">
        <v>6</v>
      </c>
      <c r="D130" s="118">
        <f t="shared" si="30"/>
        <v>116.66666666666666</v>
      </c>
      <c r="E130" s="118">
        <f t="shared" si="31"/>
        <v>23.333333333333336</v>
      </c>
      <c r="F130" s="118">
        <f t="shared" si="32"/>
        <v>140</v>
      </c>
      <c r="G130" s="118">
        <v>129</v>
      </c>
      <c r="H130" s="304">
        <f t="shared" si="33"/>
        <v>139.83600000000001</v>
      </c>
      <c r="I130" s="304">
        <f t="shared" si="34"/>
        <v>140</v>
      </c>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row>
    <row r="131" spans="1:31" s="14" customFormat="1" outlineLevel="1" x14ac:dyDescent="0.25">
      <c r="A131" s="36" t="s">
        <v>122</v>
      </c>
      <c r="B131" s="24" t="s">
        <v>45</v>
      </c>
      <c r="C131" s="107" t="s">
        <v>6</v>
      </c>
      <c r="D131" s="118">
        <f t="shared" si="30"/>
        <v>116.66666666666666</v>
      </c>
      <c r="E131" s="118">
        <f t="shared" si="31"/>
        <v>23.333333333333336</v>
      </c>
      <c r="F131" s="118">
        <f t="shared" si="32"/>
        <v>140</v>
      </c>
      <c r="G131" s="118">
        <v>129</v>
      </c>
      <c r="H131" s="304">
        <f t="shared" si="33"/>
        <v>139.83600000000001</v>
      </c>
      <c r="I131" s="304">
        <f t="shared" si="34"/>
        <v>140</v>
      </c>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row>
    <row r="132" spans="1:31" s="14" customFormat="1" outlineLevel="1" x14ac:dyDescent="0.25">
      <c r="A132" s="36" t="s">
        <v>124</v>
      </c>
      <c r="B132" s="24" t="s">
        <v>47</v>
      </c>
      <c r="C132" s="107" t="s">
        <v>6</v>
      </c>
      <c r="D132" s="118">
        <f t="shared" si="30"/>
        <v>116.66666666666666</v>
      </c>
      <c r="E132" s="118">
        <f t="shared" si="31"/>
        <v>23.333333333333336</v>
      </c>
      <c r="F132" s="118">
        <f t="shared" si="32"/>
        <v>140</v>
      </c>
      <c r="G132" s="118">
        <v>129</v>
      </c>
      <c r="H132" s="304">
        <f t="shared" si="33"/>
        <v>139.83600000000001</v>
      </c>
      <c r="I132" s="304">
        <f t="shared" si="34"/>
        <v>140</v>
      </c>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row>
    <row r="133" spans="1:31" s="14" customFormat="1" outlineLevel="1" x14ac:dyDescent="0.25">
      <c r="A133" s="36" t="s">
        <v>125</v>
      </c>
      <c r="B133" s="24" t="s">
        <v>48</v>
      </c>
      <c r="C133" s="107" t="s">
        <v>6</v>
      </c>
      <c r="D133" s="118">
        <f t="shared" si="30"/>
        <v>116.66666666666666</v>
      </c>
      <c r="E133" s="118">
        <f t="shared" si="31"/>
        <v>23.333333333333336</v>
      </c>
      <c r="F133" s="118">
        <f t="shared" si="32"/>
        <v>140</v>
      </c>
      <c r="G133" s="118">
        <v>129</v>
      </c>
      <c r="H133" s="304">
        <f t="shared" si="33"/>
        <v>139.83600000000001</v>
      </c>
      <c r="I133" s="304">
        <f t="shared" si="34"/>
        <v>140</v>
      </c>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row>
    <row r="134" spans="1:31" s="14" customFormat="1" outlineLevel="1" x14ac:dyDescent="0.25">
      <c r="A134" s="36" t="s">
        <v>126</v>
      </c>
      <c r="B134" s="24" t="s">
        <v>49</v>
      </c>
      <c r="C134" s="107" t="s">
        <v>6</v>
      </c>
      <c r="D134" s="118">
        <f t="shared" si="30"/>
        <v>116.66666666666666</v>
      </c>
      <c r="E134" s="118">
        <f t="shared" si="31"/>
        <v>23.333333333333336</v>
      </c>
      <c r="F134" s="118">
        <f t="shared" si="32"/>
        <v>140</v>
      </c>
      <c r="G134" s="118">
        <v>129</v>
      </c>
      <c r="H134" s="304">
        <f t="shared" si="33"/>
        <v>139.83600000000001</v>
      </c>
      <c r="I134" s="304">
        <f t="shared" si="34"/>
        <v>140</v>
      </c>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row>
    <row r="135" spans="1:31" s="14" customFormat="1" outlineLevel="1" x14ac:dyDescent="0.25">
      <c r="A135" s="36" t="s">
        <v>127</v>
      </c>
      <c r="B135" s="24" t="s">
        <v>204</v>
      </c>
      <c r="C135" s="107" t="s">
        <v>50</v>
      </c>
      <c r="D135" s="118">
        <f t="shared" si="30"/>
        <v>249.16666666666666</v>
      </c>
      <c r="E135" s="118">
        <f t="shared" si="31"/>
        <v>49.833333333333343</v>
      </c>
      <c r="F135" s="118">
        <f t="shared" si="32"/>
        <v>299</v>
      </c>
      <c r="G135" s="118">
        <v>276</v>
      </c>
      <c r="H135" s="304">
        <f t="shared" si="33"/>
        <v>299.18400000000003</v>
      </c>
      <c r="I135" s="304">
        <f t="shared" si="34"/>
        <v>299</v>
      </c>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row>
    <row r="136" spans="1:31" s="14" customFormat="1" outlineLevel="1" x14ac:dyDescent="0.25">
      <c r="A136" s="36" t="s">
        <v>128</v>
      </c>
      <c r="B136" s="24" t="s">
        <v>205</v>
      </c>
      <c r="C136" s="107" t="s">
        <v>50</v>
      </c>
      <c r="D136" s="118">
        <f t="shared" si="30"/>
        <v>243.33333333333331</v>
      </c>
      <c r="E136" s="118">
        <f t="shared" si="31"/>
        <v>48.666666666666671</v>
      </c>
      <c r="F136" s="118">
        <f t="shared" si="32"/>
        <v>292</v>
      </c>
      <c r="G136" s="118">
        <v>269</v>
      </c>
      <c r="H136" s="304">
        <f t="shared" si="33"/>
        <v>291.596</v>
      </c>
      <c r="I136" s="304">
        <f t="shared" si="34"/>
        <v>292</v>
      </c>
      <c r="J136" s="158"/>
      <c r="K136" s="158"/>
      <c r="L136" s="158"/>
      <c r="M136" s="158"/>
      <c r="N136" s="158"/>
      <c r="O136" s="158"/>
      <c r="P136" s="158"/>
      <c r="Q136" s="158"/>
      <c r="R136" s="158"/>
      <c r="S136" s="158"/>
      <c r="T136" s="158"/>
      <c r="U136" s="158"/>
      <c r="V136" s="158"/>
      <c r="W136" s="158"/>
      <c r="X136" s="158"/>
      <c r="Y136" s="158"/>
      <c r="Z136" s="158"/>
      <c r="AA136" s="158"/>
      <c r="AB136" s="158"/>
      <c r="AC136" s="158"/>
      <c r="AD136" s="158"/>
      <c r="AE136" s="158"/>
    </row>
    <row r="137" spans="1:31" s="14" customFormat="1" outlineLevel="1" x14ac:dyDescent="0.25">
      <c r="A137" s="36" t="s">
        <v>129</v>
      </c>
      <c r="B137" s="24" t="s">
        <v>206</v>
      </c>
      <c r="C137" s="107" t="s">
        <v>50</v>
      </c>
      <c r="D137" s="118">
        <f t="shared" si="30"/>
        <v>229.16666666666666</v>
      </c>
      <c r="E137" s="118">
        <f t="shared" si="31"/>
        <v>45.833333333333343</v>
      </c>
      <c r="F137" s="118">
        <f t="shared" si="32"/>
        <v>275</v>
      </c>
      <c r="G137" s="118">
        <v>254</v>
      </c>
      <c r="H137" s="304">
        <f t="shared" si="33"/>
        <v>275.33600000000001</v>
      </c>
      <c r="I137" s="304">
        <f t="shared" si="34"/>
        <v>275</v>
      </c>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row>
    <row r="138" spans="1:31" s="14" customFormat="1" outlineLevel="1" x14ac:dyDescent="0.25">
      <c r="A138" s="36" t="s">
        <v>215</v>
      </c>
      <c r="B138" s="24" t="s">
        <v>51</v>
      </c>
      <c r="C138" s="107" t="s">
        <v>50</v>
      </c>
      <c r="D138" s="118">
        <f t="shared" si="30"/>
        <v>116.66666666666666</v>
      </c>
      <c r="E138" s="118">
        <f t="shared" si="31"/>
        <v>23.333333333333336</v>
      </c>
      <c r="F138" s="118">
        <f t="shared" si="32"/>
        <v>140</v>
      </c>
      <c r="G138" s="118">
        <v>129</v>
      </c>
      <c r="H138" s="304">
        <f t="shared" si="33"/>
        <v>139.83600000000001</v>
      </c>
      <c r="I138" s="304">
        <f t="shared" si="34"/>
        <v>140</v>
      </c>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row>
    <row r="139" spans="1:31" s="14" customFormat="1" outlineLevel="1" x14ac:dyDescent="0.25">
      <c r="A139" s="36" t="s">
        <v>220</v>
      </c>
      <c r="B139" s="24" t="s">
        <v>52</v>
      </c>
      <c r="C139" s="107" t="s">
        <v>50</v>
      </c>
      <c r="D139" s="118">
        <f t="shared" si="30"/>
        <v>111.66666666666666</v>
      </c>
      <c r="E139" s="118">
        <f t="shared" si="31"/>
        <v>22.333333333333336</v>
      </c>
      <c r="F139" s="118">
        <v>134</v>
      </c>
      <c r="G139" s="118">
        <v>103</v>
      </c>
      <c r="H139" s="304">
        <f t="shared" si="33"/>
        <v>111.652</v>
      </c>
      <c r="I139" s="304">
        <f t="shared" si="34"/>
        <v>112</v>
      </c>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row>
    <row r="140" spans="1:31" s="14" customFormat="1" outlineLevel="1" x14ac:dyDescent="0.25">
      <c r="A140" s="36" t="s">
        <v>221</v>
      </c>
      <c r="B140" s="24" t="s">
        <v>53</v>
      </c>
      <c r="C140" s="107" t="s">
        <v>50</v>
      </c>
      <c r="D140" s="118">
        <f t="shared" si="30"/>
        <v>93.333333333333329</v>
      </c>
      <c r="E140" s="118">
        <f t="shared" si="31"/>
        <v>18.666666666666668</v>
      </c>
      <c r="F140" s="118">
        <f t="shared" si="32"/>
        <v>112</v>
      </c>
      <c r="G140" s="118">
        <v>103</v>
      </c>
      <c r="H140" s="304">
        <f t="shared" si="33"/>
        <v>111.652</v>
      </c>
      <c r="I140" s="304">
        <f t="shared" si="34"/>
        <v>112</v>
      </c>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row>
    <row r="141" spans="1:31" s="14" customFormat="1" outlineLevel="1" x14ac:dyDescent="0.25">
      <c r="A141" s="36" t="s">
        <v>222</v>
      </c>
      <c r="B141" s="24" t="s">
        <v>54</v>
      </c>
      <c r="C141" s="107" t="s">
        <v>50</v>
      </c>
      <c r="D141" s="118">
        <f t="shared" si="30"/>
        <v>111.66666666666666</v>
      </c>
      <c r="E141" s="118">
        <f t="shared" si="31"/>
        <v>22.333333333333336</v>
      </c>
      <c r="F141" s="118">
        <v>134</v>
      </c>
      <c r="G141" s="118">
        <v>103</v>
      </c>
      <c r="H141" s="304">
        <f t="shared" si="33"/>
        <v>111.652</v>
      </c>
      <c r="I141" s="304">
        <f t="shared" si="34"/>
        <v>112</v>
      </c>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row>
    <row r="142" spans="1:31" s="14" customFormat="1" outlineLevel="1" x14ac:dyDescent="0.25">
      <c r="A142" s="36" t="s">
        <v>223</v>
      </c>
      <c r="B142" s="24" t="s">
        <v>55</v>
      </c>
      <c r="C142" s="107" t="s">
        <v>50</v>
      </c>
      <c r="D142" s="118">
        <f t="shared" si="30"/>
        <v>208.33333333333331</v>
      </c>
      <c r="E142" s="118">
        <f t="shared" si="31"/>
        <v>41.666666666666671</v>
      </c>
      <c r="F142" s="118">
        <v>250</v>
      </c>
      <c r="G142" s="118">
        <v>192</v>
      </c>
      <c r="H142" s="304">
        <f t="shared" si="33"/>
        <v>208.12800000000001</v>
      </c>
      <c r="I142" s="304">
        <f t="shared" si="34"/>
        <v>208</v>
      </c>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row>
    <row r="143" spans="1:31" s="14" customFormat="1" outlineLevel="1" x14ac:dyDescent="0.25">
      <c r="A143" s="36" t="s">
        <v>286</v>
      </c>
      <c r="B143" s="24" t="s">
        <v>56</v>
      </c>
      <c r="C143" s="107" t="s">
        <v>50</v>
      </c>
      <c r="D143" s="118">
        <f t="shared" si="30"/>
        <v>93.333333333333329</v>
      </c>
      <c r="E143" s="118">
        <f t="shared" si="31"/>
        <v>18.666666666666668</v>
      </c>
      <c r="F143" s="118">
        <f t="shared" si="32"/>
        <v>112</v>
      </c>
      <c r="G143" s="118">
        <v>103</v>
      </c>
      <c r="H143" s="304">
        <f t="shared" si="33"/>
        <v>111.652</v>
      </c>
      <c r="I143" s="304">
        <f t="shared" si="34"/>
        <v>112</v>
      </c>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row>
    <row r="144" spans="1:31" s="14" customFormat="1" outlineLevel="1" x14ac:dyDescent="0.25">
      <c r="A144" s="36" t="s">
        <v>324</v>
      </c>
      <c r="B144" s="24" t="s">
        <v>57</v>
      </c>
      <c r="C144" s="107" t="s">
        <v>50</v>
      </c>
      <c r="D144" s="118">
        <f t="shared" si="30"/>
        <v>208.33333333333331</v>
      </c>
      <c r="E144" s="118">
        <f t="shared" si="31"/>
        <v>41.666666666666671</v>
      </c>
      <c r="F144" s="118">
        <v>250</v>
      </c>
      <c r="G144" s="118">
        <v>192</v>
      </c>
      <c r="H144" s="304">
        <f t="shared" si="33"/>
        <v>208.12800000000001</v>
      </c>
      <c r="I144" s="304">
        <f t="shared" si="34"/>
        <v>208</v>
      </c>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row>
    <row r="145" spans="1:31" s="14" customFormat="1" outlineLevel="1" x14ac:dyDescent="0.25">
      <c r="A145" s="36" t="s">
        <v>325</v>
      </c>
      <c r="B145" s="24" t="s">
        <v>58</v>
      </c>
      <c r="C145" s="107" t="s">
        <v>50</v>
      </c>
      <c r="D145" s="118">
        <f t="shared" si="30"/>
        <v>208.33333333333331</v>
      </c>
      <c r="E145" s="118">
        <f t="shared" si="31"/>
        <v>41.666666666666671</v>
      </c>
      <c r="F145" s="118">
        <v>250</v>
      </c>
      <c r="G145" s="118">
        <v>192</v>
      </c>
      <c r="H145" s="304">
        <f t="shared" si="33"/>
        <v>208.12800000000001</v>
      </c>
      <c r="I145" s="304">
        <f t="shared" si="34"/>
        <v>208</v>
      </c>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row>
    <row r="146" spans="1:31" s="14" customFormat="1" outlineLevel="1" x14ac:dyDescent="0.25">
      <c r="A146" s="36" t="s">
        <v>326</v>
      </c>
      <c r="B146" s="24" t="s">
        <v>59</v>
      </c>
      <c r="C146" s="107" t="s">
        <v>50</v>
      </c>
      <c r="D146" s="118">
        <f t="shared" si="30"/>
        <v>111.66666666666666</v>
      </c>
      <c r="E146" s="118">
        <f t="shared" si="31"/>
        <v>22.333333333333336</v>
      </c>
      <c r="F146" s="118">
        <v>134</v>
      </c>
      <c r="G146" s="118">
        <v>103</v>
      </c>
      <c r="H146" s="304">
        <f t="shared" si="33"/>
        <v>111.652</v>
      </c>
      <c r="I146" s="304">
        <f t="shared" si="34"/>
        <v>112</v>
      </c>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row>
    <row r="147" spans="1:31" s="14" customFormat="1" outlineLevel="1" x14ac:dyDescent="0.25">
      <c r="A147" s="36" t="s">
        <v>327</v>
      </c>
      <c r="B147" s="24" t="s">
        <v>60</v>
      </c>
      <c r="C147" s="107" t="s">
        <v>50</v>
      </c>
      <c r="D147" s="118">
        <f t="shared" si="30"/>
        <v>93.333333333333329</v>
      </c>
      <c r="E147" s="118">
        <f t="shared" si="31"/>
        <v>18.666666666666668</v>
      </c>
      <c r="F147" s="118">
        <f t="shared" si="32"/>
        <v>112</v>
      </c>
      <c r="G147" s="118">
        <v>103</v>
      </c>
      <c r="H147" s="304">
        <f t="shared" si="33"/>
        <v>111.652</v>
      </c>
      <c r="I147" s="304">
        <f t="shared" si="34"/>
        <v>112</v>
      </c>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row>
    <row r="148" spans="1:31" s="14" customFormat="1" outlineLevel="1" x14ac:dyDescent="0.25">
      <c r="A148" s="36" t="s">
        <v>328</v>
      </c>
      <c r="B148" s="24" t="s">
        <v>61</v>
      </c>
      <c r="C148" s="107" t="s">
        <v>50</v>
      </c>
      <c r="D148" s="118">
        <f t="shared" si="30"/>
        <v>248.33333333333331</v>
      </c>
      <c r="E148" s="118">
        <f t="shared" si="31"/>
        <v>49.666666666666671</v>
      </c>
      <c r="F148" s="118">
        <v>298</v>
      </c>
      <c r="G148" s="118">
        <v>229</v>
      </c>
      <c r="H148" s="304">
        <f t="shared" si="33"/>
        <v>248.23600000000002</v>
      </c>
      <c r="I148" s="304">
        <f t="shared" si="34"/>
        <v>248</v>
      </c>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row>
    <row r="149" spans="1:31" s="14" customFormat="1" outlineLevel="1" x14ac:dyDescent="0.25">
      <c r="A149" s="36" t="s">
        <v>329</v>
      </c>
      <c r="B149" s="24" t="s">
        <v>62</v>
      </c>
      <c r="C149" s="107" t="s">
        <v>50</v>
      </c>
      <c r="D149" s="118">
        <f t="shared" si="30"/>
        <v>111.66666666666666</v>
      </c>
      <c r="E149" s="118">
        <f t="shared" si="31"/>
        <v>22.333333333333336</v>
      </c>
      <c r="F149" s="118">
        <v>134</v>
      </c>
      <c r="G149" s="118">
        <v>103</v>
      </c>
      <c r="H149" s="304">
        <f t="shared" si="33"/>
        <v>111.652</v>
      </c>
      <c r="I149" s="304">
        <f t="shared" si="34"/>
        <v>112</v>
      </c>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row>
    <row r="150" spans="1:31" s="14" customFormat="1" outlineLevel="1" x14ac:dyDescent="0.25">
      <c r="A150" s="36" t="s">
        <v>330</v>
      </c>
      <c r="B150" s="24" t="s">
        <v>63</v>
      </c>
      <c r="C150" s="107" t="s">
        <v>50</v>
      </c>
      <c r="D150" s="118">
        <f t="shared" si="30"/>
        <v>93.333333333333329</v>
      </c>
      <c r="E150" s="118">
        <f t="shared" si="31"/>
        <v>18.666666666666668</v>
      </c>
      <c r="F150" s="118">
        <f t="shared" si="32"/>
        <v>112</v>
      </c>
      <c r="G150" s="118">
        <v>103</v>
      </c>
      <c r="H150" s="304">
        <f t="shared" si="33"/>
        <v>111.652</v>
      </c>
      <c r="I150" s="304">
        <f t="shared" si="34"/>
        <v>112</v>
      </c>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row>
    <row r="151" spans="1:31" outlineLevel="1" x14ac:dyDescent="0.25">
      <c r="A151" s="36" t="s">
        <v>331</v>
      </c>
      <c r="B151" s="24" t="s">
        <v>64</v>
      </c>
      <c r="C151" s="107" t="s">
        <v>50</v>
      </c>
      <c r="D151" s="118">
        <f t="shared" si="30"/>
        <v>125</v>
      </c>
      <c r="E151" s="118">
        <f t="shared" si="31"/>
        <v>25</v>
      </c>
      <c r="F151" s="118">
        <v>150</v>
      </c>
      <c r="G151" s="118">
        <v>115</v>
      </c>
      <c r="H151" s="304">
        <f t="shared" si="33"/>
        <v>124.66000000000001</v>
      </c>
      <c r="I151" s="304">
        <f t="shared" si="34"/>
        <v>125</v>
      </c>
    </row>
    <row r="152" spans="1:31" outlineLevel="1" x14ac:dyDescent="0.25">
      <c r="A152" s="36" t="s">
        <v>332</v>
      </c>
      <c r="B152" s="24" t="s">
        <v>65</v>
      </c>
      <c r="C152" s="107" t="s">
        <v>50</v>
      </c>
      <c r="D152" s="118">
        <f t="shared" si="30"/>
        <v>93.333333333333329</v>
      </c>
      <c r="E152" s="118">
        <f t="shared" si="31"/>
        <v>18.666666666666668</v>
      </c>
      <c r="F152" s="118">
        <f t="shared" si="32"/>
        <v>112</v>
      </c>
      <c r="G152" s="118">
        <v>103</v>
      </c>
      <c r="H152" s="304">
        <f t="shared" si="33"/>
        <v>111.652</v>
      </c>
      <c r="I152" s="304">
        <f t="shared" si="34"/>
        <v>112</v>
      </c>
    </row>
    <row r="153" spans="1:31" outlineLevel="1" x14ac:dyDescent="0.25">
      <c r="A153" s="36" t="s">
        <v>333</v>
      </c>
      <c r="B153" s="24" t="s">
        <v>66</v>
      </c>
      <c r="C153" s="107" t="s">
        <v>50</v>
      </c>
      <c r="D153" s="118">
        <f t="shared" si="30"/>
        <v>111.66666666666666</v>
      </c>
      <c r="E153" s="118">
        <f t="shared" si="31"/>
        <v>22.333333333333336</v>
      </c>
      <c r="F153" s="118">
        <v>134</v>
      </c>
      <c r="G153" s="118">
        <v>103</v>
      </c>
      <c r="H153" s="304">
        <f t="shared" si="33"/>
        <v>111.652</v>
      </c>
      <c r="I153" s="304">
        <f t="shared" si="34"/>
        <v>112</v>
      </c>
    </row>
    <row r="154" spans="1:31" outlineLevel="1" x14ac:dyDescent="0.25">
      <c r="A154" s="36" t="s">
        <v>334</v>
      </c>
      <c r="B154" s="24" t="s">
        <v>67</v>
      </c>
      <c r="C154" s="107" t="s">
        <v>50</v>
      </c>
      <c r="D154" s="118">
        <f t="shared" si="30"/>
        <v>111.66666666666666</v>
      </c>
      <c r="E154" s="118">
        <f t="shared" si="31"/>
        <v>22.333333333333336</v>
      </c>
      <c r="F154" s="118">
        <v>134</v>
      </c>
      <c r="G154" s="118">
        <v>103</v>
      </c>
      <c r="H154" s="304">
        <f t="shared" si="33"/>
        <v>111.652</v>
      </c>
      <c r="I154" s="304">
        <f t="shared" si="34"/>
        <v>112</v>
      </c>
    </row>
    <row r="155" spans="1:31" outlineLevel="1" x14ac:dyDescent="0.25">
      <c r="A155" s="36" t="s">
        <v>335</v>
      </c>
      <c r="B155" s="24" t="s">
        <v>68</v>
      </c>
      <c r="C155" s="107" t="s">
        <v>50</v>
      </c>
      <c r="D155" s="118">
        <f t="shared" si="30"/>
        <v>156.66666666666666</v>
      </c>
      <c r="E155" s="118">
        <f t="shared" si="31"/>
        <v>31.333333333333339</v>
      </c>
      <c r="F155" s="118">
        <f t="shared" si="32"/>
        <v>188</v>
      </c>
      <c r="G155" s="118">
        <v>173</v>
      </c>
      <c r="H155" s="304">
        <f t="shared" si="33"/>
        <v>187.53200000000001</v>
      </c>
      <c r="I155" s="304">
        <f t="shared" si="34"/>
        <v>188</v>
      </c>
    </row>
    <row r="156" spans="1:31" outlineLevel="1" x14ac:dyDescent="0.25">
      <c r="A156" s="36" t="s">
        <v>336</v>
      </c>
      <c r="B156" s="24" t="s">
        <v>69</v>
      </c>
      <c r="C156" s="107" t="s">
        <v>50</v>
      </c>
      <c r="D156" s="118">
        <f t="shared" si="30"/>
        <v>104.16666666666666</v>
      </c>
      <c r="E156" s="118">
        <f t="shared" si="31"/>
        <v>20.833333333333336</v>
      </c>
      <c r="F156" s="118">
        <f t="shared" si="32"/>
        <v>125</v>
      </c>
      <c r="G156" s="118">
        <v>115</v>
      </c>
      <c r="H156" s="304">
        <f t="shared" si="33"/>
        <v>124.66000000000001</v>
      </c>
      <c r="I156" s="304">
        <f t="shared" si="34"/>
        <v>125</v>
      </c>
    </row>
    <row r="157" spans="1:31" outlineLevel="1" x14ac:dyDescent="0.25">
      <c r="A157" s="36" t="s">
        <v>337</v>
      </c>
      <c r="B157" s="24" t="s">
        <v>261</v>
      </c>
      <c r="C157" s="107" t="s">
        <v>6</v>
      </c>
      <c r="D157" s="118">
        <f t="shared" si="30"/>
        <v>173.33333333333331</v>
      </c>
      <c r="E157" s="118">
        <f t="shared" si="31"/>
        <v>34.666666666666671</v>
      </c>
      <c r="F157" s="118">
        <f t="shared" si="32"/>
        <v>208</v>
      </c>
      <c r="G157" s="118">
        <v>192</v>
      </c>
      <c r="H157" s="304">
        <f t="shared" si="33"/>
        <v>208.12800000000001</v>
      </c>
      <c r="I157" s="304">
        <f t="shared" si="34"/>
        <v>208</v>
      </c>
    </row>
    <row r="158" spans="1:31" outlineLevel="1" x14ac:dyDescent="0.25">
      <c r="A158" s="36" t="s">
        <v>338</v>
      </c>
      <c r="B158" s="24" t="s">
        <v>262</v>
      </c>
      <c r="C158" s="107" t="s">
        <v>6</v>
      </c>
      <c r="D158" s="118">
        <f t="shared" si="30"/>
        <v>116.66666666666666</v>
      </c>
      <c r="E158" s="118">
        <f t="shared" si="31"/>
        <v>23.333333333333336</v>
      </c>
      <c r="F158" s="118">
        <f t="shared" si="32"/>
        <v>140</v>
      </c>
      <c r="G158" s="118">
        <v>129</v>
      </c>
      <c r="H158" s="304">
        <f t="shared" si="33"/>
        <v>139.83600000000001</v>
      </c>
      <c r="I158" s="304">
        <f t="shared" si="34"/>
        <v>140</v>
      </c>
    </row>
    <row r="159" spans="1:31" outlineLevel="1" x14ac:dyDescent="0.25">
      <c r="A159" s="36" t="s">
        <v>339</v>
      </c>
      <c r="B159" s="24" t="s">
        <v>207</v>
      </c>
      <c r="C159" s="107" t="s">
        <v>6</v>
      </c>
      <c r="D159" s="118">
        <f t="shared" si="30"/>
        <v>136.66666666666666</v>
      </c>
      <c r="E159" s="118">
        <f t="shared" si="31"/>
        <v>27.333333333333339</v>
      </c>
      <c r="F159" s="118">
        <f t="shared" si="32"/>
        <v>164</v>
      </c>
      <c r="G159" s="118">
        <v>151</v>
      </c>
      <c r="H159" s="304">
        <f t="shared" si="33"/>
        <v>163.684</v>
      </c>
      <c r="I159" s="304">
        <f t="shared" si="34"/>
        <v>164</v>
      </c>
    </row>
    <row r="160" spans="1:31" outlineLevel="1" x14ac:dyDescent="0.25">
      <c r="A160" s="36" t="s">
        <v>340</v>
      </c>
      <c r="B160" s="24" t="s">
        <v>1539</v>
      </c>
      <c r="C160" s="107" t="s">
        <v>6</v>
      </c>
      <c r="D160" s="118">
        <f t="shared" si="30"/>
        <v>231.66666666666666</v>
      </c>
      <c r="E160" s="118">
        <f t="shared" si="31"/>
        <v>46.333333333333343</v>
      </c>
      <c r="F160" s="118">
        <f t="shared" si="32"/>
        <v>278</v>
      </c>
      <c r="G160" s="118">
        <v>256</v>
      </c>
      <c r="H160" s="304">
        <f t="shared" si="33"/>
        <v>277.50400000000002</v>
      </c>
      <c r="I160" s="304">
        <f t="shared" si="34"/>
        <v>278</v>
      </c>
    </row>
    <row r="161" spans="1:31" outlineLevel="1" x14ac:dyDescent="0.25">
      <c r="A161" s="36" t="s">
        <v>1531</v>
      </c>
      <c r="B161" s="24" t="s">
        <v>1530</v>
      </c>
      <c r="C161" s="151" t="s">
        <v>6</v>
      </c>
      <c r="D161" s="118">
        <f t="shared" si="30"/>
        <v>145.83333333333331</v>
      </c>
      <c r="E161" s="118">
        <f t="shared" si="31"/>
        <v>29.166666666666671</v>
      </c>
      <c r="F161" s="118">
        <f t="shared" si="32"/>
        <v>175</v>
      </c>
      <c r="G161" s="118">
        <v>161</v>
      </c>
      <c r="H161" s="304">
        <f t="shared" si="33"/>
        <v>174.524</v>
      </c>
      <c r="I161" s="304">
        <f t="shared" si="34"/>
        <v>175</v>
      </c>
    </row>
    <row r="162" spans="1:31" outlineLevel="1" x14ac:dyDescent="0.25">
      <c r="A162" s="23" t="s">
        <v>3773</v>
      </c>
      <c r="B162" s="24" t="s">
        <v>3770</v>
      </c>
      <c r="C162" s="370" t="s">
        <v>50</v>
      </c>
      <c r="D162" s="118">
        <f t="shared" ref="D162" si="35">F162-E162</f>
        <v>173.33333333333331</v>
      </c>
      <c r="E162" s="118">
        <f t="shared" ref="E162" si="36">F162/1.2*0.2</f>
        <v>34.666666666666671</v>
      </c>
      <c r="F162" s="118">
        <v>208</v>
      </c>
      <c r="G162" s="130"/>
      <c r="H162" s="304"/>
      <c r="I162" s="304"/>
    </row>
    <row r="163" spans="1:31" s="6" customFormat="1" ht="18.75" x14ac:dyDescent="0.25">
      <c r="A163" s="398" t="s">
        <v>1397</v>
      </c>
      <c r="B163" s="399"/>
      <c r="C163" s="399"/>
      <c r="D163" s="399"/>
      <c r="E163" s="399"/>
      <c r="F163" s="399"/>
      <c r="G163" s="400"/>
      <c r="H163" s="306"/>
      <c r="I163" s="306"/>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row>
    <row r="164" spans="1:31" ht="31.5" outlineLevel="1" x14ac:dyDescent="0.25">
      <c r="A164" s="23" t="s">
        <v>136</v>
      </c>
      <c r="B164" s="27" t="s">
        <v>1735</v>
      </c>
      <c r="C164" s="111" t="s">
        <v>50</v>
      </c>
      <c r="D164" s="118">
        <f t="shared" ref="D164:D170" si="37">F164-E164</f>
        <v>332.5</v>
      </c>
      <c r="E164" s="118">
        <f t="shared" ref="E164:E170" si="38">F164/1.2*0.2</f>
        <v>66.5</v>
      </c>
      <c r="F164" s="118">
        <f t="shared" ref="F164:F170" si="39">I164</f>
        <v>399</v>
      </c>
      <c r="G164" s="118">
        <v>368</v>
      </c>
      <c r="H164" s="304">
        <f t="shared" ref="H164:H170" si="40">G164*$H$8</f>
        <v>398.91200000000003</v>
      </c>
      <c r="I164" s="304">
        <f t="shared" ref="I164:I170" si="41">ROUND(H164,0)</f>
        <v>399</v>
      </c>
    </row>
    <row r="165" spans="1:31" ht="31.5" outlineLevel="1" x14ac:dyDescent="0.25">
      <c r="A165" s="23" t="s">
        <v>138</v>
      </c>
      <c r="B165" s="27" t="s">
        <v>378</v>
      </c>
      <c r="C165" s="111" t="s">
        <v>50</v>
      </c>
      <c r="D165" s="118">
        <f t="shared" si="37"/>
        <v>462.5</v>
      </c>
      <c r="E165" s="118">
        <f t="shared" si="38"/>
        <v>92.5</v>
      </c>
      <c r="F165" s="118">
        <f t="shared" si="39"/>
        <v>555</v>
      </c>
      <c r="G165" s="118">
        <v>512</v>
      </c>
      <c r="H165" s="304">
        <f t="shared" si="40"/>
        <v>555.00800000000004</v>
      </c>
      <c r="I165" s="304">
        <f t="shared" si="41"/>
        <v>555</v>
      </c>
    </row>
    <row r="166" spans="1:31" outlineLevel="1" x14ac:dyDescent="0.25">
      <c r="A166" s="23" t="s">
        <v>237</v>
      </c>
      <c r="B166" s="28" t="s">
        <v>119</v>
      </c>
      <c r="C166" s="111" t="s">
        <v>50</v>
      </c>
      <c r="D166" s="118">
        <f t="shared" si="37"/>
        <v>347.5</v>
      </c>
      <c r="E166" s="118">
        <f t="shared" si="38"/>
        <v>69.5</v>
      </c>
      <c r="F166" s="118">
        <f t="shared" si="39"/>
        <v>417</v>
      </c>
      <c r="G166" s="118">
        <v>385</v>
      </c>
      <c r="H166" s="304">
        <f t="shared" si="40"/>
        <v>417.34000000000003</v>
      </c>
      <c r="I166" s="304">
        <f t="shared" si="41"/>
        <v>417</v>
      </c>
    </row>
    <row r="167" spans="1:31" outlineLevel="1" x14ac:dyDescent="0.25">
      <c r="A167" s="23" t="s">
        <v>341</v>
      </c>
      <c r="B167" s="28" t="s">
        <v>121</v>
      </c>
      <c r="C167" s="111" t="s">
        <v>50</v>
      </c>
      <c r="D167" s="118">
        <f t="shared" si="37"/>
        <v>347.5</v>
      </c>
      <c r="E167" s="118">
        <f t="shared" si="38"/>
        <v>69.5</v>
      </c>
      <c r="F167" s="118">
        <f t="shared" si="39"/>
        <v>417</v>
      </c>
      <c r="G167" s="118">
        <v>385</v>
      </c>
      <c r="H167" s="304">
        <f t="shared" si="40"/>
        <v>417.34000000000003</v>
      </c>
      <c r="I167" s="304">
        <f t="shared" si="41"/>
        <v>417</v>
      </c>
    </row>
    <row r="168" spans="1:31" outlineLevel="1" x14ac:dyDescent="0.25">
      <c r="A168" s="23" t="s">
        <v>342</v>
      </c>
      <c r="B168" s="28" t="s">
        <v>123</v>
      </c>
      <c r="C168" s="111" t="s">
        <v>50</v>
      </c>
      <c r="D168" s="118">
        <f t="shared" si="37"/>
        <v>347.5</v>
      </c>
      <c r="E168" s="118">
        <f t="shared" si="38"/>
        <v>69.5</v>
      </c>
      <c r="F168" s="118">
        <f t="shared" si="39"/>
        <v>417</v>
      </c>
      <c r="G168" s="118">
        <v>385</v>
      </c>
      <c r="H168" s="304">
        <f t="shared" si="40"/>
        <v>417.34000000000003</v>
      </c>
      <c r="I168" s="304">
        <f t="shared" si="41"/>
        <v>417</v>
      </c>
    </row>
    <row r="169" spans="1:31" s="14" customFormat="1" outlineLevel="1" x14ac:dyDescent="0.25">
      <c r="A169" s="23" t="s">
        <v>343</v>
      </c>
      <c r="B169" s="27" t="s">
        <v>219</v>
      </c>
      <c r="C169" s="111" t="s">
        <v>50</v>
      </c>
      <c r="D169" s="118">
        <f t="shared" si="37"/>
        <v>347.5</v>
      </c>
      <c r="E169" s="118">
        <f t="shared" si="38"/>
        <v>69.5</v>
      </c>
      <c r="F169" s="118">
        <f t="shared" si="39"/>
        <v>417</v>
      </c>
      <c r="G169" s="118">
        <v>385</v>
      </c>
      <c r="H169" s="304">
        <f t="shared" si="40"/>
        <v>417.34000000000003</v>
      </c>
      <c r="I169" s="304">
        <f t="shared" si="41"/>
        <v>417</v>
      </c>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row>
    <row r="170" spans="1:31" s="14" customFormat="1" outlineLevel="1" x14ac:dyDescent="0.25">
      <c r="A170" s="23" t="s">
        <v>379</v>
      </c>
      <c r="B170" s="27" t="s">
        <v>130</v>
      </c>
      <c r="C170" s="111" t="s">
        <v>6</v>
      </c>
      <c r="D170" s="118">
        <f t="shared" si="37"/>
        <v>231.66666666666666</v>
      </c>
      <c r="E170" s="118">
        <f t="shared" si="38"/>
        <v>46.333333333333343</v>
      </c>
      <c r="F170" s="118">
        <f t="shared" si="39"/>
        <v>278</v>
      </c>
      <c r="G170" s="118">
        <v>256</v>
      </c>
      <c r="H170" s="304">
        <f t="shared" si="40"/>
        <v>277.50400000000002</v>
      </c>
      <c r="I170" s="304">
        <f t="shared" si="41"/>
        <v>278</v>
      </c>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row>
    <row r="171" spans="1:31" s="14" customFormat="1" ht="18.75" x14ac:dyDescent="0.25">
      <c r="A171" s="392" t="s">
        <v>344</v>
      </c>
      <c r="B171" s="393"/>
      <c r="C171" s="393"/>
      <c r="D171" s="393"/>
      <c r="E171" s="393"/>
      <c r="F171" s="393"/>
      <c r="G171" s="394"/>
      <c r="H171" s="307"/>
      <c r="I171" s="307"/>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row>
    <row r="172" spans="1:31" s="14" customFormat="1" outlineLevel="1" x14ac:dyDescent="0.25">
      <c r="A172" s="25" t="s">
        <v>159</v>
      </c>
      <c r="B172" s="26" t="s">
        <v>2757</v>
      </c>
      <c r="C172" s="107" t="s">
        <v>50</v>
      </c>
      <c r="D172" s="118">
        <f t="shared" ref="D172:D174" si="42">F172-E172</f>
        <v>399.16666666666663</v>
      </c>
      <c r="E172" s="118">
        <f t="shared" ref="E172:E174" si="43">F172/1.2*0.2</f>
        <v>79.833333333333343</v>
      </c>
      <c r="F172" s="118">
        <f t="shared" ref="F172:F174" si="44">I172</f>
        <v>479</v>
      </c>
      <c r="G172" s="118">
        <v>442</v>
      </c>
      <c r="H172" s="304">
        <f t="shared" ref="H172:H174" si="45">G172*$H$8</f>
        <v>479.12800000000004</v>
      </c>
      <c r="I172" s="304">
        <f t="shared" ref="I172:I174" si="46">ROUND(H172,0)</f>
        <v>479</v>
      </c>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row>
    <row r="173" spans="1:31" s="14" customFormat="1" outlineLevel="1" x14ac:dyDescent="0.25">
      <c r="A173" s="25" t="s">
        <v>160</v>
      </c>
      <c r="B173" s="26" t="s">
        <v>2758</v>
      </c>
      <c r="C173" s="107" t="s">
        <v>50</v>
      </c>
      <c r="D173" s="118">
        <f t="shared" si="42"/>
        <v>399.16666666666663</v>
      </c>
      <c r="E173" s="118">
        <f t="shared" si="43"/>
        <v>79.833333333333343</v>
      </c>
      <c r="F173" s="118">
        <f t="shared" si="44"/>
        <v>479</v>
      </c>
      <c r="G173" s="118">
        <v>442</v>
      </c>
      <c r="H173" s="304">
        <f t="shared" si="45"/>
        <v>479.12800000000004</v>
      </c>
      <c r="I173" s="304">
        <f t="shared" si="46"/>
        <v>479</v>
      </c>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row>
    <row r="174" spans="1:31" s="14" customFormat="1" ht="24" customHeight="1" outlineLevel="1" x14ac:dyDescent="0.25">
      <c r="A174" s="25" t="s">
        <v>161</v>
      </c>
      <c r="B174" s="26" t="s">
        <v>162</v>
      </c>
      <c r="C174" s="107" t="s">
        <v>50</v>
      </c>
      <c r="D174" s="118">
        <f t="shared" si="42"/>
        <v>386.66666666666663</v>
      </c>
      <c r="E174" s="118">
        <f t="shared" si="43"/>
        <v>77.333333333333343</v>
      </c>
      <c r="F174" s="118">
        <f t="shared" si="44"/>
        <v>464</v>
      </c>
      <c r="G174" s="118">
        <v>428</v>
      </c>
      <c r="H174" s="304">
        <f t="shared" si="45"/>
        <v>463.95200000000006</v>
      </c>
      <c r="I174" s="304">
        <f t="shared" si="46"/>
        <v>464</v>
      </c>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row>
    <row r="175" spans="1:31" s="14" customFormat="1" ht="18.75" x14ac:dyDescent="0.25">
      <c r="A175" s="384" t="s">
        <v>2109</v>
      </c>
      <c r="B175" s="385"/>
      <c r="C175" s="385"/>
      <c r="D175" s="385"/>
      <c r="E175" s="385"/>
      <c r="F175" s="385"/>
      <c r="G175" s="386"/>
      <c r="H175" s="303"/>
      <c r="I175" s="303"/>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row>
    <row r="176" spans="1:31" s="14" customFormat="1" outlineLevel="1" x14ac:dyDescent="0.25">
      <c r="A176" s="66" t="s">
        <v>155</v>
      </c>
      <c r="B176" s="67" t="s">
        <v>457</v>
      </c>
      <c r="C176" s="107" t="s">
        <v>50</v>
      </c>
      <c r="D176" s="118">
        <f t="shared" ref="D176:D218" si="47">F176-E176</f>
        <v>255</v>
      </c>
      <c r="E176" s="118">
        <f t="shared" ref="E176:E218" si="48">F176/1.2*0.2</f>
        <v>51</v>
      </c>
      <c r="F176" s="118">
        <f t="shared" ref="F176:F216" si="49">I176</f>
        <v>306</v>
      </c>
      <c r="G176" s="118">
        <v>282</v>
      </c>
      <c r="H176" s="304">
        <f t="shared" ref="H176:H216" si="50">G176*$H$8</f>
        <v>305.68800000000005</v>
      </c>
      <c r="I176" s="304">
        <f t="shared" ref="I176:I216" si="51">ROUND(H176,0)</f>
        <v>306</v>
      </c>
      <c r="J176" s="158"/>
      <c r="K176" s="158"/>
      <c r="L176" s="158"/>
      <c r="M176" s="158"/>
      <c r="N176" s="158"/>
      <c r="O176" s="158"/>
      <c r="P176" s="158"/>
      <c r="Q176" s="158"/>
      <c r="R176" s="158"/>
      <c r="S176" s="158"/>
      <c r="T176" s="158"/>
      <c r="U176" s="158"/>
      <c r="V176" s="158"/>
      <c r="W176" s="158"/>
      <c r="X176" s="158"/>
      <c r="Y176" s="158"/>
      <c r="Z176" s="158"/>
      <c r="AA176" s="158"/>
      <c r="AB176" s="158"/>
      <c r="AC176" s="158"/>
      <c r="AD176" s="158"/>
      <c r="AE176" s="158"/>
    </row>
    <row r="177" spans="1:31" s="14" customFormat="1" outlineLevel="1" x14ac:dyDescent="0.25">
      <c r="A177" s="66" t="s">
        <v>156</v>
      </c>
      <c r="B177" s="68" t="s">
        <v>101</v>
      </c>
      <c r="C177" s="107" t="s">
        <v>50</v>
      </c>
      <c r="D177" s="118">
        <f t="shared" si="47"/>
        <v>173.33333333333331</v>
      </c>
      <c r="E177" s="118">
        <f t="shared" si="48"/>
        <v>34.666666666666671</v>
      </c>
      <c r="F177" s="118">
        <f t="shared" si="49"/>
        <v>208</v>
      </c>
      <c r="G177" s="118">
        <v>192</v>
      </c>
      <c r="H177" s="304">
        <f t="shared" si="50"/>
        <v>208.12800000000001</v>
      </c>
      <c r="I177" s="304">
        <f t="shared" si="51"/>
        <v>208</v>
      </c>
      <c r="J177" s="158"/>
      <c r="K177" s="158"/>
      <c r="L177" s="158"/>
      <c r="M177" s="158"/>
      <c r="N177" s="158"/>
      <c r="O177" s="158"/>
      <c r="P177" s="158"/>
      <c r="Q177" s="158"/>
      <c r="R177" s="158"/>
      <c r="S177" s="158"/>
      <c r="T177" s="158"/>
      <c r="U177" s="158"/>
      <c r="V177" s="158"/>
      <c r="W177" s="158"/>
      <c r="X177" s="158"/>
      <c r="Y177" s="158"/>
      <c r="Z177" s="158"/>
      <c r="AA177" s="158"/>
      <c r="AB177" s="158"/>
      <c r="AC177" s="158"/>
      <c r="AD177" s="158"/>
      <c r="AE177" s="158"/>
    </row>
    <row r="178" spans="1:31" s="14" customFormat="1" outlineLevel="1" x14ac:dyDescent="0.25">
      <c r="A178" s="66" t="s">
        <v>157</v>
      </c>
      <c r="B178" s="68" t="s">
        <v>1433</v>
      </c>
      <c r="C178" s="107" t="s">
        <v>50</v>
      </c>
      <c r="D178" s="118">
        <f t="shared" si="47"/>
        <v>231.66666666666666</v>
      </c>
      <c r="E178" s="118">
        <f t="shared" si="48"/>
        <v>46.333333333333343</v>
      </c>
      <c r="F178" s="118">
        <f t="shared" si="49"/>
        <v>278</v>
      </c>
      <c r="G178" s="118">
        <v>256</v>
      </c>
      <c r="H178" s="304">
        <f t="shared" si="50"/>
        <v>277.50400000000002</v>
      </c>
      <c r="I178" s="304">
        <f t="shared" si="51"/>
        <v>278</v>
      </c>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row>
    <row r="179" spans="1:31" s="14" customFormat="1" outlineLevel="1" x14ac:dyDescent="0.25">
      <c r="A179" s="66" t="s">
        <v>158</v>
      </c>
      <c r="B179" s="68" t="s">
        <v>229</v>
      </c>
      <c r="C179" s="107" t="s">
        <v>50</v>
      </c>
      <c r="D179" s="118">
        <f t="shared" si="47"/>
        <v>231.66666666666666</v>
      </c>
      <c r="E179" s="118">
        <f t="shared" si="48"/>
        <v>46.333333333333343</v>
      </c>
      <c r="F179" s="118">
        <f t="shared" si="49"/>
        <v>278</v>
      </c>
      <c r="G179" s="118">
        <v>256</v>
      </c>
      <c r="H179" s="304">
        <f t="shared" si="50"/>
        <v>277.50400000000002</v>
      </c>
      <c r="I179" s="304">
        <f t="shared" si="51"/>
        <v>278</v>
      </c>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row>
    <row r="180" spans="1:31" s="14" customFormat="1" outlineLevel="1" x14ac:dyDescent="0.25">
      <c r="A180" s="66" t="s">
        <v>165</v>
      </c>
      <c r="B180" s="68" t="s">
        <v>105</v>
      </c>
      <c r="C180" s="107" t="s">
        <v>50</v>
      </c>
      <c r="D180" s="118">
        <f t="shared" si="47"/>
        <v>231.66666666666666</v>
      </c>
      <c r="E180" s="118">
        <f t="shared" si="48"/>
        <v>46.333333333333343</v>
      </c>
      <c r="F180" s="118">
        <f t="shared" si="49"/>
        <v>278</v>
      </c>
      <c r="G180" s="118">
        <v>256</v>
      </c>
      <c r="H180" s="304">
        <f t="shared" si="50"/>
        <v>277.50400000000002</v>
      </c>
      <c r="I180" s="304">
        <f t="shared" si="51"/>
        <v>278</v>
      </c>
      <c r="J180" s="158"/>
      <c r="K180" s="158"/>
      <c r="L180" s="158"/>
      <c r="M180" s="158"/>
      <c r="N180" s="158"/>
      <c r="O180" s="158"/>
      <c r="P180" s="158"/>
      <c r="Q180" s="158"/>
      <c r="R180" s="158"/>
      <c r="S180" s="158"/>
      <c r="T180" s="158"/>
      <c r="U180" s="158"/>
      <c r="V180" s="158"/>
      <c r="W180" s="158"/>
      <c r="X180" s="158"/>
      <c r="Y180" s="158"/>
      <c r="Z180" s="158"/>
      <c r="AA180" s="158"/>
      <c r="AB180" s="158"/>
      <c r="AC180" s="158"/>
      <c r="AD180" s="158"/>
      <c r="AE180" s="158"/>
    </row>
    <row r="181" spans="1:31" s="14" customFormat="1" outlineLevel="1" x14ac:dyDescent="0.25">
      <c r="A181" s="66" t="s">
        <v>166</v>
      </c>
      <c r="B181" s="68" t="s">
        <v>470</v>
      </c>
      <c r="C181" s="107" t="s">
        <v>50</v>
      </c>
      <c r="D181" s="118">
        <f t="shared" si="47"/>
        <v>116.66666666666666</v>
      </c>
      <c r="E181" s="118">
        <f t="shared" si="48"/>
        <v>23.333333333333336</v>
      </c>
      <c r="F181" s="118">
        <f t="shared" si="49"/>
        <v>140</v>
      </c>
      <c r="G181" s="118">
        <v>129</v>
      </c>
      <c r="H181" s="304">
        <f t="shared" si="50"/>
        <v>139.83600000000001</v>
      </c>
      <c r="I181" s="304">
        <f t="shared" si="51"/>
        <v>140</v>
      </c>
      <c r="J181" s="158"/>
      <c r="K181" s="158"/>
      <c r="L181" s="158"/>
      <c r="M181" s="158"/>
      <c r="N181" s="158"/>
      <c r="O181" s="158"/>
      <c r="P181" s="158"/>
      <c r="Q181" s="158"/>
      <c r="R181" s="158"/>
      <c r="S181" s="158"/>
      <c r="T181" s="158"/>
      <c r="U181" s="158"/>
      <c r="V181" s="158"/>
      <c r="W181" s="158"/>
      <c r="X181" s="158"/>
      <c r="Y181" s="158"/>
      <c r="Z181" s="158"/>
      <c r="AA181" s="158"/>
      <c r="AB181" s="158"/>
      <c r="AC181" s="158"/>
      <c r="AD181" s="158"/>
      <c r="AE181" s="158"/>
    </row>
    <row r="182" spans="1:31" s="14" customFormat="1" outlineLevel="1" x14ac:dyDescent="0.25">
      <c r="A182" s="66" t="s">
        <v>167</v>
      </c>
      <c r="B182" s="68" t="s">
        <v>453</v>
      </c>
      <c r="C182" s="107" t="s">
        <v>50</v>
      </c>
      <c r="D182" s="118">
        <f t="shared" si="47"/>
        <v>231.66666666666666</v>
      </c>
      <c r="E182" s="118">
        <f t="shared" si="48"/>
        <v>46.333333333333343</v>
      </c>
      <c r="F182" s="118">
        <f t="shared" si="49"/>
        <v>278</v>
      </c>
      <c r="G182" s="118">
        <v>256</v>
      </c>
      <c r="H182" s="304">
        <f t="shared" si="50"/>
        <v>277.50400000000002</v>
      </c>
      <c r="I182" s="304">
        <f t="shared" si="51"/>
        <v>278</v>
      </c>
      <c r="J182" s="158"/>
      <c r="K182" s="158"/>
      <c r="L182" s="158"/>
      <c r="M182" s="158"/>
      <c r="N182" s="158"/>
      <c r="O182" s="158"/>
      <c r="P182" s="158"/>
      <c r="Q182" s="158"/>
      <c r="R182" s="158"/>
      <c r="S182" s="158"/>
      <c r="T182" s="158"/>
      <c r="U182" s="158"/>
      <c r="V182" s="158"/>
      <c r="W182" s="158"/>
      <c r="X182" s="158"/>
      <c r="Y182" s="158"/>
      <c r="Z182" s="158"/>
      <c r="AA182" s="158"/>
      <c r="AB182" s="158"/>
      <c r="AC182" s="158"/>
      <c r="AD182" s="158"/>
      <c r="AE182" s="158"/>
    </row>
    <row r="183" spans="1:31" s="14" customFormat="1" outlineLevel="1" x14ac:dyDescent="0.25">
      <c r="A183" s="66" t="s">
        <v>168</v>
      </c>
      <c r="B183" s="68" t="s">
        <v>106</v>
      </c>
      <c r="C183" s="107" t="s">
        <v>50</v>
      </c>
      <c r="D183" s="118">
        <f t="shared" si="47"/>
        <v>231.66666666666666</v>
      </c>
      <c r="E183" s="118">
        <f t="shared" si="48"/>
        <v>46.333333333333343</v>
      </c>
      <c r="F183" s="118">
        <f t="shared" si="49"/>
        <v>278</v>
      </c>
      <c r="G183" s="118">
        <v>256</v>
      </c>
      <c r="H183" s="304">
        <f t="shared" si="50"/>
        <v>277.50400000000002</v>
      </c>
      <c r="I183" s="304">
        <f t="shared" si="51"/>
        <v>278</v>
      </c>
      <c r="J183" s="158"/>
      <c r="K183" s="158"/>
      <c r="L183" s="158"/>
      <c r="M183" s="158"/>
      <c r="N183" s="158"/>
      <c r="O183" s="158"/>
      <c r="P183" s="158"/>
      <c r="Q183" s="158"/>
      <c r="R183" s="158"/>
      <c r="S183" s="158"/>
      <c r="T183" s="158"/>
      <c r="U183" s="158"/>
      <c r="V183" s="158"/>
      <c r="W183" s="158"/>
      <c r="X183" s="158"/>
      <c r="Y183" s="158"/>
      <c r="Z183" s="158"/>
      <c r="AA183" s="158"/>
      <c r="AB183" s="158"/>
      <c r="AC183" s="158"/>
      <c r="AD183" s="158"/>
      <c r="AE183" s="158"/>
    </row>
    <row r="184" spans="1:31" s="14" customFormat="1" outlineLevel="1" x14ac:dyDescent="0.25">
      <c r="A184" s="66" t="s">
        <v>169</v>
      </c>
      <c r="B184" s="68" t="s">
        <v>107</v>
      </c>
      <c r="C184" s="107" t="s">
        <v>50</v>
      </c>
      <c r="D184" s="118">
        <f t="shared" si="47"/>
        <v>231.66666666666666</v>
      </c>
      <c r="E184" s="118">
        <f t="shared" si="48"/>
        <v>46.333333333333343</v>
      </c>
      <c r="F184" s="118">
        <f t="shared" si="49"/>
        <v>278</v>
      </c>
      <c r="G184" s="118">
        <v>256</v>
      </c>
      <c r="H184" s="304">
        <f t="shared" si="50"/>
        <v>277.50400000000002</v>
      </c>
      <c r="I184" s="304">
        <f t="shared" si="51"/>
        <v>278</v>
      </c>
      <c r="J184" s="158"/>
      <c r="K184" s="158"/>
      <c r="L184" s="158"/>
      <c r="M184" s="158"/>
      <c r="N184" s="158"/>
      <c r="O184" s="158"/>
      <c r="P184" s="158"/>
      <c r="Q184" s="158"/>
      <c r="R184" s="158"/>
      <c r="S184" s="158"/>
      <c r="T184" s="158"/>
      <c r="U184" s="158"/>
      <c r="V184" s="158"/>
      <c r="W184" s="158"/>
      <c r="X184" s="158"/>
      <c r="Y184" s="158"/>
      <c r="Z184" s="158"/>
      <c r="AA184" s="158"/>
      <c r="AB184" s="158"/>
      <c r="AC184" s="158"/>
      <c r="AD184" s="158"/>
      <c r="AE184" s="158"/>
    </row>
    <row r="185" spans="1:31" s="14" customFormat="1" outlineLevel="1" x14ac:dyDescent="0.25">
      <c r="A185" s="66" t="s">
        <v>170</v>
      </c>
      <c r="B185" s="68" t="s">
        <v>471</v>
      </c>
      <c r="C185" s="107" t="s">
        <v>50</v>
      </c>
      <c r="D185" s="118">
        <f t="shared" si="47"/>
        <v>289.16666666666663</v>
      </c>
      <c r="E185" s="118">
        <f t="shared" si="48"/>
        <v>57.833333333333343</v>
      </c>
      <c r="F185" s="118">
        <f t="shared" si="49"/>
        <v>347</v>
      </c>
      <c r="G185" s="118">
        <v>320</v>
      </c>
      <c r="H185" s="304">
        <f t="shared" si="50"/>
        <v>346.88</v>
      </c>
      <c r="I185" s="304">
        <f t="shared" si="51"/>
        <v>347</v>
      </c>
      <c r="J185" s="158"/>
      <c r="K185" s="158"/>
      <c r="L185" s="158"/>
      <c r="M185" s="158"/>
      <c r="N185" s="158"/>
      <c r="O185" s="158"/>
      <c r="P185" s="158"/>
      <c r="Q185" s="158"/>
      <c r="R185" s="158"/>
      <c r="S185" s="158"/>
      <c r="T185" s="158"/>
      <c r="U185" s="158"/>
      <c r="V185" s="158"/>
      <c r="W185" s="158"/>
      <c r="X185" s="158"/>
      <c r="Y185" s="158"/>
      <c r="Z185" s="158"/>
      <c r="AA185" s="158"/>
      <c r="AB185" s="158"/>
      <c r="AC185" s="158"/>
      <c r="AD185" s="158"/>
      <c r="AE185" s="158"/>
    </row>
    <row r="186" spans="1:31" s="14" customFormat="1" outlineLevel="1" x14ac:dyDescent="0.25">
      <c r="A186" s="66" t="s">
        <v>171</v>
      </c>
      <c r="B186" s="68" t="s">
        <v>458</v>
      </c>
      <c r="C186" s="107" t="s">
        <v>50</v>
      </c>
      <c r="D186" s="118">
        <f t="shared" si="47"/>
        <v>371.66666666666663</v>
      </c>
      <c r="E186" s="118">
        <f t="shared" si="48"/>
        <v>74.333333333333343</v>
      </c>
      <c r="F186" s="118">
        <f t="shared" si="49"/>
        <v>446</v>
      </c>
      <c r="G186" s="118">
        <v>411</v>
      </c>
      <c r="H186" s="304">
        <f t="shared" si="50"/>
        <v>445.52400000000006</v>
      </c>
      <c r="I186" s="304">
        <f t="shared" si="51"/>
        <v>446</v>
      </c>
      <c r="J186" s="158"/>
      <c r="K186" s="158"/>
      <c r="L186" s="158"/>
      <c r="M186" s="158"/>
      <c r="N186" s="158"/>
      <c r="O186" s="158"/>
      <c r="P186" s="158"/>
      <c r="Q186" s="158"/>
      <c r="R186" s="158"/>
      <c r="S186" s="158"/>
      <c r="T186" s="158"/>
      <c r="U186" s="158"/>
      <c r="V186" s="158"/>
      <c r="W186" s="158"/>
      <c r="X186" s="158"/>
      <c r="Y186" s="158"/>
      <c r="Z186" s="158"/>
      <c r="AA186" s="158"/>
      <c r="AB186" s="158"/>
      <c r="AC186" s="158"/>
      <c r="AD186" s="158"/>
      <c r="AE186" s="158"/>
    </row>
    <row r="187" spans="1:31" s="14" customFormat="1" outlineLevel="1" x14ac:dyDescent="0.25">
      <c r="A187" s="66" t="s">
        <v>172</v>
      </c>
      <c r="B187" s="68" t="s">
        <v>108</v>
      </c>
      <c r="C187" s="107" t="s">
        <v>50</v>
      </c>
      <c r="D187" s="118">
        <f t="shared" si="47"/>
        <v>224.16666666666666</v>
      </c>
      <c r="E187" s="118">
        <f t="shared" si="48"/>
        <v>44.833333333333343</v>
      </c>
      <c r="F187" s="118">
        <f t="shared" si="49"/>
        <v>269</v>
      </c>
      <c r="G187" s="118">
        <v>248</v>
      </c>
      <c r="H187" s="304">
        <f t="shared" si="50"/>
        <v>268.83199999999999</v>
      </c>
      <c r="I187" s="304">
        <f t="shared" si="51"/>
        <v>269</v>
      </c>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row>
    <row r="188" spans="1:31" s="14" customFormat="1" outlineLevel="1" x14ac:dyDescent="0.25">
      <c r="A188" s="66" t="s">
        <v>173</v>
      </c>
      <c r="B188" s="68" t="s">
        <v>109</v>
      </c>
      <c r="C188" s="107" t="s">
        <v>50</v>
      </c>
      <c r="D188" s="118">
        <f t="shared" si="47"/>
        <v>116.66666666666666</v>
      </c>
      <c r="E188" s="118">
        <f t="shared" si="48"/>
        <v>23.333333333333336</v>
      </c>
      <c r="F188" s="118">
        <f t="shared" si="49"/>
        <v>140</v>
      </c>
      <c r="G188" s="118">
        <v>129</v>
      </c>
      <c r="H188" s="304">
        <f t="shared" si="50"/>
        <v>139.83600000000001</v>
      </c>
      <c r="I188" s="304">
        <f t="shared" si="51"/>
        <v>140</v>
      </c>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row>
    <row r="189" spans="1:31" s="14" customFormat="1" outlineLevel="1" x14ac:dyDescent="0.25">
      <c r="A189" s="66" t="s">
        <v>174</v>
      </c>
      <c r="B189" s="68" t="s">
        <v>459</v>
      </c>
      <c r="C189" s="107" t="s">
        <v>50</v>
      </c>
      <c r="D189" s="118">
        <f t="shared" si="47"/>
        <v>260</v>
      </c>
      <c r="E189" s="118">
        <f t="shared" si="48"/>
        <v>52</v>
      </c>
      <c r="F189" s="118">
        <f t="shared" si="49"/>
        <v>312</v>
      </c>
      <c r="G189" s="118">
        <v>288</v>
      </c>
      <c r="H189" s="304">
        <f t="shared" si="50"/>
        <v>312.19200000000001</v>
      </c>
      <c r="I189" s="304">
        <f t="shared" si="51"/>
        <v>312</v>
      </c>
      <c r="J189" s="158"/>
      <c r="K189" s="158"/>
      <c r="L189" s="158"/>
      <c r="M189" s="158"/>
      <c r="N189" s="158"/>
      <c r="O189" s="158"/>
      <c r="P189" s="158"/>
      <c r="Q189" s="158"/>
      <c r="R189" s="158"/>
      <c r="S189" s="158"/>
      <c r="T189" s="158"/>
      <c r="U189" s="158"/>
      <c r="V189" s="158"/>
      <c r="W189" s="158"/>
      <c r="X189" s="158"/>
      <c r="Y189" s="158"/>
      <c r="Z189" s="158"/>
      <c r="AA189" s="158"/>
      <c r="AB189" s="158"/>
      <c r="AC189" s="158"/>
      <c r="AD189" s="158"/>
      <c r="AE189" s="158"/>
    </row>
    <row r="190" spans="1:31" s="14" customFormat="1" outlineLevel="1" x14ac:dyDescent="0.25">
      <c r="A190" s="66" t="s">
        <v>175</v>
      </c>
      <c r="B190" s="68" t="s">
        <v>472</v>
      </c>
      <c r="C190" s="107" t="s">
        <v>50</v>
      </c>
      <c r="D190" s="118">
        <f t="shared" si="47"/>
        <v>173.33333333333331</v>
      </c>
      <c r="E190" s="118">
        <f t="shared" si="48"/>
        <v>34.666666666666671</v>
      </c>
      <c r="F190" s="118">
        <f t="shared" si="49"/>
        <v>208</v>
      </c>
      <c r="G190" s="118">
        <v>192</v>
      </c>
      <c r="H190" s="304">
        <f t="shared" si="50"/>
        <v>208.12800000000001</v>
      </c>
      <c r="I190" s="304">
        <f t="shared" si="51"/>
        <v>208</v>
      </c>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row>
    <row r="191" spans="1:31" s="14" customFormat="1" outlineLevel="1" x14ac:dyDescent="0.25">
      <c r="A191" s="66" t="s">
        <v>208</v>
      </c>
      <c r="B191" s="68" t="s">
        <v>473</v>
      </c>
      <c r="C191" s="107" t="s">
        <v>50</v>
      </c>
      <c r="D191" s="118">
        <f t="shared" si="47"/>
        <v>173.33333333333331</v>
      </c>
      <c r="E191" s="118">
        <f t="shared" si="48"/>
        <v>34.666666666666671</v>
      </c>
      <c r="F191" s="118">
        <f t="shared" si="49"/>
        <v>208</v>
      </c>
      <c r="G191" s="118">
        <v>192</v>
      </c>
      <c r="H191" s="304">
        <f t="shared" si="50"/>
        <v>208.12800000000001</v>
      </c>
      <c r="I191" s="304">
        <f t="shared" si="51"/>
        <v>208</v>
      </c>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row>
    <row r="192" spans="1:31" s="14" customFormat="1" outlineLevel="1" x14ac:dyDescent="0.25">
      <c r="A192" s="66" t="s">
        <v>209</v>
      </c>
      <c r="B192" s="68" t="s">
        <v>460</v>
      </c>
      <c r="C192" s="107" t="s">
        <v>50</v>
      </c>
      <c r="D192" s="118">
        <f t="shared" si="47"/>
        <v>347.5</v>
      </c>
      <c r="E192" s="118">
        <f t="shared" si="48"/>
        <v>69.5</v>
      </c>
      <c r="F192" s="118">
        <f t="shared" si="49"/>
        <v>417</v>
      </c>
      <c r="G192" s="118">
        <v>385</v>
      </c>
      <c r="H192" s="304">
        <f t="shared" si="50"/>
        <v>417.34000000000003</v>
      </c>
      <c r="I192" s="304">
        <f t="shared" si="51"/>
        <v>417</v>
      </c>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row>
    <row r="193" spans="1:31" s="14" customFormat="1" outlineLevel="1" x14ac:dyDescent="0.25">
      <c r="A193" s="66" t="s">
        <v>210</v>
      </c>
      <c r="B193" s="68" t="s">
        <v>461</v>
      </c>
      <c r="C193" s="107" t="s">
        <v>50</v>
      </c>
      <c r="D193" s="118">
        <f t="shared" si="47"/>
        <v>347.5</v>
      </c>
      <c r="E193" s="118">
        <f t="shared" si="48"/>
        <v>69.5</v>
      </c>
      <c r="F193" s="118">
        <f t="shared" si="49"/>
        <v>417</v>
      </c>
      <c r="G193" s="118">
        <v>385</v>
      </c>
      <c r="H193" s="304">
        <f t="shared" si="50"/>
        <v>417.34000000000003</v>
      </c>
      <c r="I193" s="304">
        <f t="shared" si="51"/>
        <v>417</v>
      </c>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row>
    <row r="194" spans="1:31" s="14" customFormat="1" outlineLevel="1" x14ac:dyDescent="0.25">
      <c r="A194" s="66" t="s">
        <v>211</v>
      </c>
      <c r="B194" s="68" t="s">
        <v>462</v>
      </c>
      <c r="C194" s="107" t="s">
        <v>50</v>
      </c>
      <c r="D194" s="118">
        <f t="shared" si="47"/>
        <v>231.66666666666666</v>
      </c>
      <c r="E194" s="118">
        <f t="shared" si="48"/>
        <v>46.333333333333343</v>
      </c>
      <c r="F194" s="118">
        <f t="shared" si="49"/>
        <v>278</v>
      </c>
      <c r="G194" s="118">
        <v>256</v>
      </c>
      <c r="H194" s="304">
        <f t="shared" si="50"/>
        <v>277.50400000000002</v>
      </c>
      <c r="I194" s="304">
        <f t="shared" si="51"/>
        <v>278</v>
      </c>
      <c r="J194" s="158"/>
      <c r="K194" s="158"/>
      <c r="L194" s="158"/>
      <c r="M194" s="158"/>
      <c r="N194" s="158"/>
      <c r="O194" s="158"/>
      <c r="P194" s="158"/>
      <c r="Q194" s="158"/>
      <c r="R194" s="158"/>
      <c r="S194" s="158"/>
      <c r="T194" s="158"/>
      <c r="U194" s="158"/>
      <c r="V194" s="158"/>
      <c r="W194" s="158"/>
      <c r="X194" s="158"/>
      <c r="Y194" s="158"/>
      <c r="Z194" s="158"/>
      <c r="AA194" s="158"/>
      <c r="AB194" s="158"/>
      <c r="AC194" s="158"/>
      <c r="AD194" s="158"/>
      <c r="AE194" s="158"/>
    </row>
    <row r="195" spans="1:31" s="14" customFormat="1" outlineLevel="1" x14ac:dyDescent="0.25">
      <c r="A195" s="66" t="s">
        <v>176</v>
      </c>
      <c r="B195" s="68" t="s">
        <v>203</v>
      </c>
      <c r="C195" s="107" t="s">
        <v>50</v>
      </c>
      <c r="D195" s="118">
        <f t="shared" si="47"/>
        <v>173.33333333333331</v>
      </c>
      <c r="E195" s="118">
        <f t="shared" si="48"/>
        <v>34.666666666666671</v>
      </c>
      <c r="F195" s="118">
        <f t="shared" si="49"/>
        <v>208</v>
      </c>
      <c r="G195" s="118">
        <v>192</v>
      </c>
      <c r="H195" s="304">
        <f t="shared" si="50"/>
        <v>208.12800000000001</v>
      </c>
      <c r="I195" s="304">
        <f t="shared" si="51"/>
        <v>208</v>
      </c>
      <c r="J195" s="158"/>
      <c r="K195" s="158"/>
      <c r="L195" s="158"/>
      <c r="M195" s="158"/>
      <c r="N195" s="158"/>
      <c r="O195" s="158"/>
      <c r="P195" s="158"/>
      <c r="Q195" s="158"/>
      <c r="R195" s="158"/>
      <c r="S195" s="158"/>
      <c r="T195" s="158"/>
      <c r="U195" s="158"/>
      <c r="V195" s="158"/>
      <c r="W195" s="158"/>
      <c r="X195" s="158"/>
      <c r="Y195" s="158"/>
      <c r="Z195" s="158"/>
      <c r="AA195" s="158"/>
      <c r="AB195" s="158"/>
      <c r="AC195" s="158"/>
      <c r="AD195" s="158"/>
      <c r="AE195" s="158"/>
    </row>
    <row r="196" spans="1:31" s="14" customFormat="1" outlineLevel="1" x14ac:dyDescent="0.25">
      <c r="A196" s="66" t="s">
        <v>177</v>
      </c>
      <c r="B196" s="68" t="s">
        <v>232</v>
      </c>
      <c r="C196" s="107" t="s">
        <v>50</v>
      </c>
      <c r="D196" s="118">
        <f t="shared" si="47"/>
        <v>57.5</v>
      </c>
      <c r="E196" s="118">
        <f t="shared" si="48"/>
        <v>11.5</v>
      </c>
      <c r="F196" s="118">
        <f t="shared" si="49"/>
        <v>69</v>
      </c>
      <c r="G196" s="118">
        <v>64</v>
      </c>
      <c r="H196" s="304">
        <f t="shared" si="50"/>
        <v>69.376000000000005</v>
      </c>
      <c r="I196" s="304">
        <f t="shared" si="51"/>
        <v>69</v>
      </c>
      <c r="J196" s="158"/>
      <c r="K196" s="158"/>
      <c r="L196" s="158"/>
      <c r="M196" s="158"/>
      <c r="N196" s="158"/>
      <c r="O196" s="158"/>
      <c r="P196" s="158"/>
      <c r="Q196" s="158"/>
      <c r="R196" s="158"/>
      <c r="S196" s="158"/>
      <c r="T196" s="158"/>
      <c r="U196" s="158"/>
      <c r="V196" s="158"/>
      <c r="W196" s="158"/>
      <c r="X196" s="158"/>
      <c r="Y196" s="158"/>
      <c r="Z196" s="158"/>
      <c r="AA196" s="158"/>
      <c r="AB196" s="158"/>
      <c r="AC196" s="158"/>
      <c r="AD196" s="158"/>
      <c r="AE196" s="158"/>
    </row>
    <row r="197" spans="1:31" s="14" customFormat="1" outlineLevel="1" x14ac:dyDescent="0.25">
      <c r="A197" s="66" t="s">
        <v>178</v>
      </c>
      <c r="B197" s="68" t="s">
        <v>110</v>
      </c>
      <c r="C197" s="107" t="s">
        <v>50</v>
      </c>
      <c r="D197" s="118">
        <f t="shared" si="47"/>
        <v>181.66666666666666</v>
      </c>
      <c r="E197" s="118">
        <f t="shared" si="48"/>
        <v>36.333333333333336</v>
      </c>
      <c r="F197" s="118">
        <f t="shared" si="49"/>
        <v>218</v>
      </c>
      <c r="G197" s="118">
        <v>201</v>
      </c>
      <c r="H197" s="304">
        <f t="shared" si="50"/>
        <v>217.88400000000001</v>
      </c>
      <c r="I197" s="304">
        <f t="shared" si="51"/>
        <v>218</v>
      </c>
      <c r="J197" s="158"/>
      <c r="K197" s="158"/>
      <c r="L197" s="158"/>
      <c r="M197" s="158"/>
      <c r="N197" s="158"/>
      <c r="O197" s="158"/>
      <c r="P197" s="158"/>
      <c r="Q197" s="158"/>
      <c r="R197" s="158"/>
      <c r="S197" s="158"/>
      <c r="T197" s="158"/>
      <c r="U197" s="158"/>
      <c r="V197" s="158"/>
      <c r="W197" s="158"/>
      <c r="X197" s="158"/>
      <c r="Y197" s="158"/>
      <c r="Z197" s="158"/>
      <c r="AA197" s="158"/>
      <c r="AB197" s="158"/>
      <c r="AC197" s="158"/>
      <c r="AD197" s="158"/>
      <c r="AE197" s="158"/>
    </row>
    <row r="198" spans="1:31" s="14" customFormat="1" outlineLevel="1" x14ac:dyDescent="0.25">
      <c r="A198" s="66" t="s">
        <v>179</v>
      </c>
      <c r="B198" s="68" t="s">
        <v>111</v>
      </c>
      <c r="C198" s="107" t="s">
        <v>50</v>
      </c>
      <c r="D198" s="118">
        <f t="shared" si="47"/>
        <v>179.16666666666666</v>
      </c>
      <c r="E198" s="118">
        <f t="shared" si="48"/>
        <v>35.833333333333336</v>
      </c>
      <c r="F198" s="118">
        <f t="shared" si="49"/>
        <v>215</v>
      </c>
      <c r="G198" s="118">
        <v>198</v>
      </c>
      <c r="H198" s="304">
        <f t="shared" si="50"/>
        <v>214.63200000000001</v>
      </c>
      <c r="I198" s="304">
        <f t="shared" si="51"/>
        <v>215</v>
      </c>
      <c r="J198" s="158"/>
      <c r="K198" s="158"/>
      <c r="L198" s="158"/>
      <c r="M198" s="158"/>
      <c r="N198" s="158"/>
      <c r="O198" s="158"/>
      <c r="P198" s="158"/>
      <c r="Q198" s="158"/>
      <c r="R198" s="158"/>
      <c r="S198" s="158"/>
      <c r="T198" s="158"/>
      <c r="U198" s="158"/>
      <c r="V198" s="158"/>
      <c r="W198" s="158"/>
      <c r="X198" s="158"/>
      <c r="Y198" s="158"/>
      <c r="Z198" s="158"/>
      <c r="AA198" s="158"/>
      <c r="AB198" s="158"/>
      <c r="AC198" s="158"/>
      <c r="AD198" s="158"/>
      <c r="AE198" s="158"/>
    </row>
    <row r="199" spans="1:31" s="14" customFormat="1" outlineLevel="1" x14ac:dyDescent="0.25">
      <c r="A199" s="66" t="s">
        <v>180</v>
      </c>
      <c r="B199" s="68" t="s">
        <v>112</v>
      </c>
      <c r="C199" s="107" t="s">
        <v>50</v>
      </c>
      <c r="D199" s="118">
        <f t="shared" si="47"/>
        <v>179.16666666666666</v>
      </c>
      <c r="E199" s="118">
        <f t="shared" si="48"/>
        <v>35.833333333333336</v>
      </c>
      <c r="F199" s="118">
        <f t="shared" si="49"/>
        <v>215</v>
      </c>
      <c r="G199" s="118">
        <v>198</v>
      </c>
      <c r="H199" s="304">
        <f t="shared" si="50"/>
        <v>214.63200000000001</v>
      </c>
      <c r="I199" s="304">
        <f t="shared" si="51"/>
        <v>215</v>
      </c>
      <c r="J199" s="158"/>
      <c r="K199" s="158"/>
      <c r="L199" s="158"/>
      <c r="M199" s="158"/>
      <c r="N199" s="158"/>
      <c r="O199" s="158"/>
      <c r="P199" s="158"/>
      <c r="Q199" s="158"/>
      <c r="R199" s="158"/>
      <c r="S199" s="158"/>
      <c r="T199" s="158"/>
      <c r="U199" s="158"/>
      <c r="V199" s="158"/>
      <c r="W199" s="158"/>
      <c r="X199" s="158"/>
      <c r="Y199" s="158"/>
      <c r="Z199" s="158"/>
      <c r="AA199" s="158"/>
      <c r="AB199" s="158"/>
      <c r="AC199" s="158"/>
      <c r="AD199" s="158"/>
      <c r="AE199" s="158"/>
    </row>
    <row r="200" spans="1:31" s="14" customFormat="1" outlineLevel="1" x14ac:dyDescent="0.25">
      <c r="A200" s="66" t="s">
        <v>181</v>
      </c>
      <c r="B200" s="68" t="s">
        <v>113</v>
      </c>
      <c r="C200" s="107" t="s">
        <v>50</v>
      </c>
      <c r="D200" s="118">
        <f t="shared" si="47"/>
        <v>352.5</v>
      </c>
      <c r="E200" s="118">
        <f t="shared" si="48"/>
        <v>70.5</v>
      </c>
      <c r="F200" s="118">
        <f t="shared" si="49"/>
        <v>423</v>
      </c>
      <c r="G200" s="118">
        <v>390</v>
      </c>
      <c r="H200" s="304">
        <f t="shared" si="50"/>
        <v>422.76000000000005</v>
      </c>
      <c r="I200" s="304">
        <f t="shared" si="51"/>
        <v>423</v>
      </c>
      <c r="J200" s="158"/>
      <c r="K200" s="158"/>
      <c r="L200" s="158"/>
      <c r="M200" s="158"/>
      <c r="N200" s="158"/>
      <c r="O200" s="158"/>
      <c r="P200" s="158"/>
      <c r="Q200" s="158"/>
      <c r="R200" s="158"/>
      <c r="S200" s="158"/>
      <c r="T200" s="158"/>
      <c r="U200" s="158"/>
      <c r="V200" s="158"/>
      <c r="W200" s="158"/>
      <c r="X200" s="158"/>
      <c r="Y200" s="158"/>
      <c r="Z200" s="158"/>
      <c r="AA200" s="158"/>
      <c r="AB200" s="158"/>
      <c r="AC200" s="158"/>
      <c r="AD200" s="158"/>
      <c r="AE200" s="158"/>
    </row>
    <row r="201" spans="1:31" s="14" customFormat="1" outlineLevel="1" x14ac:dyDescent="0.25">
      <c r="A201" s="66" t="s">
        <v>182</v>
      </c>
      <c r="B201" s="68" t="s">
        <v>114</v>
      </c>
      <c r="C201" s="107" t="s">
        <v>50</v>
      </c>
      <c r="D201" s="118">
        <f t="shared" si="47"/>
        <v>368.33333333333331</v>
      </c>
      <c r="E201" s="118">
        <f t="shared" si="48"/>
        <v>73.666666666666671</v>
      </c>
      <c r="F201" s="118">
        <f t="shared" si="49"/>
        <v>442</v>
      </c>
      <c r="G201" s="118">
        <v>408</v>
      </c>
      <c r="H201" s="304">
        <f t="shared" si="50"/>
        <v>442.27200000000005</v>
      </c>
      <c r="I201" s="304">
        <f t="shared" si="51"/>
        <v>442</v>
      </c>
      <c r="J201" s="158"/>
      <c r="K201" s="158"/>
      <c r="L201" s="158"/>
      <c r="M201" s="158"/>
      <c r="N201" s="158"/>
      <c r="O201" s="158"/>
      <c r="P201" s="158"/>
      <c r="Q201" s="158"/>
      <c r="R201" s="158"/>
      <c r="S201" s="158"/>
      <c r="T201" s="158"/>
      <c r="U201" s="158"/>
      <c r="V201" s="158"/>
      <c r="W201" s="158"/>
      <c r="X201" s="158"/>
      <c r="Y201" s="158"/>
      <c r="Z201" s="158"/>
      <c r="AA201" s="158"/>
      <c r="AB201" s="158"/>
      <c r="AC201" s="158"/>
      <c r="AD201" s="158"/>
      <c r="AE201" s="158"/>
    </row>
    <row r="202" spans="1:31" s="14" customFormat="1" outlineLevel="1" x14ac:dyDescent="0.25">
      <c r="A202" s="66" t="s">
        <v>183</v>
      </c>
      <c r="B202" s="68" t="s">
        <v>115</v>
      </c>
      <c r="C202" s="107" t="s">
        <v>50</v>
      </c>
      <c r="D202" s="118">
        <f t="shared" si="47"/>
        <v>197.5</v>
      </c>
      <c r="E202" s="118">
        <f t="shared" si="48"/>
        <v>39.5</v>
      </c>
      <c r="F202" s="118">
        <f t="shared" si="49"/>
        <v>237</v>
      </c>
      <c r="G202" s="118">
        <v>219</v>
      </c>
      <c r="H202" s="304">
        <f t="shared" si="50"/>
        <v>237.39600000000002</v>
      </c>
      <c r="I202" s="304">
        <f t="shared" si="51"/>
        <v>237</v>
      </c>
      <c r="J202" s="158"/>
      <c r="K202" s="158"/>
      <c r="L202" s="158"/>
      <c r="M202" s="158"/>
      <c r="N202" s="158"/>
      <c r="O202" s="158"/>
      <c r="P202" s="158"/>
      <c r="Q202" s="158"/>
      <c r="R202" s="158"/>
      <c r="S202" s="158"/>
      <c r="T202" s="158"/>
      <c r="U202" s="158"/>
      <c r="V202" s="158"/>
      <c r="W202" s="158"/>
      <c r="X202" s="158"/>
      <c r="Y202" s="158"/>
      <c r="Z202" s="158"/>
      <c r="AA202" s="158"/>
      <c r="AB202" s="158"/>
      <c r="AC202" s="158"/>
      <c r="AD202" s="158"/>
      <c r="AE202" s="158"/>
    </row>
    <row r="203" spans="1:31" s="14" customFormat="1" outlineLevel="1" x14ac:dyDescent="0.25">
      <c r="A203" s="66" t="s">
        <v>184</v>
      </c>
      <c r="B203" s="68" t="s">
        <v>116</v>
      </c>
      <c r="C203" s="107" t="s">
        <v>50</v>
      </c>
      <c r="D203" s="118">
        <f t="shared" si="47"/>
        <v>345.83333333333331</v>
      </c>
      <c r="E203" s="118">
        <f t="shared" si="48"/>
        <v>69.166666666666671</v>
      </c>
      <c r="F203" s="118">
        <f t="shared" si="49"/>
        <v>415</v>
      </c>
      <c r="G203" s="118">
        <v>383</v>
      </c>
      <c r="H203" s="304">
        <f t="shared" si="50"/>
        <v>415.17200000000003</v>
      </c>
      <c r="I203" s="304">
        <f t="shared" si="51"/>
        <v>415</v>
      </c>
      <c r="J203" s="158"/>
      <c r="K203" s="158"/>
      <c r="L203" s="158"/>
      <c r="M203" s="158"/>
      <c r="N203" s="158"/>
      <c r="O203" s="158"/>
      <c r="P203" s="158"/>
      <c r="Q203" s="158"/>
      <c r="R203" s="158"/>
      <c r="S203" s="158"/>
      <c r="T203" s="158"/>
      <c r="U203" s="158"/>
      <c r="V203" s="158"/>
      <c r="W203" s="158"/>
      <c r="X203" s="158"/>
      <c r="Y203" s="158"/>
      <c r="Z203" s="158"/>
      <c r="AA203" s="158"/>
      <c r="AB203" s="158"/>
      <c r="AC203" s="158"/>
      <c r="AD203" s="158"/>
      <c r="AE203" s="158"/>
    </row>
    <row r="204" spans="1:31" s="14" customFormat="1" outlineLevel="1" x14ac:dyDescent="0.25">
      <c r="A204" s="66" t="s">
        <v>185</v>
      </c>
      <c r="B204" s="68" t="s">
        <v>213</v>
      </c>
      <c r="C204" s="107" t="s">
        <v>50</v>
      </c>
      <c r="D204" s="118">
        <f t="shared" si="47"/>
        <v>453.33333333333331</v>
      </c>
      <c r="E204" s="118">
        <f t="shared" si="48"/>
        <v>90.666666666666686</v>
      </c>
      <c r="F204" s="118">
        <f t="shared" si="49"/>
        <v>544</v>
      </c>
      <c r="G204" s="118">
        <v>502</v>
      </c>
      <c r="H204" s="304">
        <f t="shared" si="50"/>
        <v>544.16800000000001</v>
      </c>
      <c r="I204" s="304">
        <f t="shared" si="51"/>
        <v>544</v>
      </c>
      <c r="J204" s="158"/>
      <c r="K204" s="158"/>
      <c r="L204" s="158"/>
      <c r="M204" s="158"/>
      <c r="N204" s="158"/>
      <c r="O204" s="158"/>
      <c r="P204" s="158"/>
      <c r="Q204" s="158"/>
      <c r="R204" s="158"/>
      <c r="S204" s="158"/>
      <c r="T204" s="158"/>
      <c r="U204" s="158"/>
      <c r="V204" s="158"/>
      <c r="W204" s="158"/>
      <c r="X204" s="158"/>
      <c r="Y204" s="158"/>
      <c r="Z204" s="158"/>
      <c r="AA204" s="158"/>
      <c r="AB204" s="158"/>
      <c r="AC204" s="158"/>
      <c r="AD204" s="158"/>
      <c r="AE204" s="158"/>
    </row>
    <row r="205" spans="1:31" s="14" customFormat="1" outlineLevel="1" x14ac:dyDescent="0.25">
      <c r="A205" s="66" t="s">
        <v>186</v>
      </c>
      <c r="B205" s="68" t="s">
        <v>265</v>
      </c>
      <c r="C205" s="107" t="s">
        <v>50</v>
      </c>
      <c r="D205" s="118">
        <f t="shared" si="47"/>
        <v>67.5</v>
      </c>
      <c r="E205" s="118">
        <f t="shared" si="48"/>
        <v>13.5</v>
      </c>
      <c r="F205" s="118">
        <f t="shared" si="49"/>
        <v>81</v>
      </c>
      <c r="G205" s="118">
        <v>75</v>
      </c>
      <c r="H205" s="304">
        <f t="shared" si="50"/>
        <v>81.300000000000011</v>
      </c>
      <c r="I205" s="304">
        <f t="shared" si="51"/>
        <v>81</v>
      </c>
      <c r="J205" s="158"/>
      <c r="K205" s="158"/>
      <c r="L205" s="158"/>
      <c r="M205" s="158"/>
      <c r="N205" s="158"/>
      <c r="O205" s="158"/>
      <c r="P205" s="158"/>
      <c r="Q205" s="158"/>
      <c r="R205" s="158"/>
      <c r="S205" s="158"/>
      <c r="T205" s="158"/>
      <c r="U205" s="158"/>
      <c r="V205" s="158"/>
      <c r="W205" s="158"/>
      <c r="X205" s="158"/>
      <c r="Y205" s="158"/>
      <c r="Z205" s="158"/>
      <c r="AA205" s="158"/>
      <c r="AB205" s="158"/>
      <c r="AC205" s="158"/>
      <c r="AD205" s="158"/>
      <c r="AE205" s="158"/>
    </row>
    <row r="206" spans="1:31" s="14" customFormat="1" outlineLevel="1" x14ac:dyDescent="0.25">
      <c r="A206" s="66" t="s">
        <v>187</v>
      </c>
      <c r="B206" s="68" t="s">
        <v>266</v>
      </c>
      <c r="C206" s="107" t="s">
        <v>50</v>
      </c>
      <c r="D206" s="118">
        <f t="shared" si="47"/>
        <v>768.33333333333326</v>
      </c>
      <c r="E206" s="118">
        <f t="shared" si="48"/>
        <v>153.66666666666669</v>
      </c>
      <c r="F206" s="118">
        <f t="shared" si="49"/>
        <v>922</v>
      </c>
      <c r="G206" s="118">
        <v>851</v>
      </c>
      <c r="H206" s="304">
        <f t="shared" si="50"/>
        <v>922.48400000000004</v>
      </c>
      <c r="I206" s="304">
        <f t="shared" si="51"/>
        <v>922</v>
      </c>
      <c r="J206" s="158"/>
      <c r="K206" s="158"/>
      <c r="L206" s="158"/>
      <c r="M206" s="158"/>
      <c r="N206" s="158"/>
      <c r="O206" s="158"/>
      <c r="P206" s="158"/>
      <c r="Q206" s="158"/>
      <c r="R206" s="158"/>
      <c r="S206" s="158"/>
      <c r="T206" s="158"/>
      <c r="U206" s="158"/>
      <c r="V206" s="158"/>
      <c r="W206" s="158"/>
      <c r="X206" s="158"/>
      <c r="Y206" s="158"/>
      <c r="Z206" s="158"/>
      <c r="AA206" s="158"/>
      <c r="AB206" s="158"/>
      <c r="AC206" s="158"/>
      <c r="AD206" s="158"/>
      <c r="AE206" s="158"/>
    </row>
    <row r="207" spans="1:31" s="14" customFormat="1" outlineLevel="1" x14ac:dyDescent="0.25">
      <c r="A207" s="66" t="s">
        <v>238</v>
      </c>
      <c r="B207" s="68" t="s">
        <v>267</v>
      </c>
      <c r="C207" s="107" t="s">
        <v>50</v>
      </c>
      <c r="D207" s="118">
        <f t="shared" si="47"/>
        <v>979.16666666666663</v>
      </c>
      <c r="E207" s="118">
        <f t="shared" si="48"/>
        <v>195.83333333333337</v>
      </c>
      <c r="F207" s="118">
        <f t="shared" si="49"/>
        <v>1175</v>
      </c>
      <c r="G207" s="118">
        <v>1084</v>
      </c>
      <c r="H207" s="304">
        <f t="shared" si="50"/>
        <v>1175.056</v>
      </c>
      <c r="I207" s="304">
        <f t="shared" si="51"/>
        <v>1175</v>
      </c>
      <c r="J207" s="158"/>
      <c r="K207" s="158"/>
      <c r="L207" s="158"/>
      <c r="M207" s="158"/>
      <c r="N207" s="158"/>
      <c r="O207" s="158"/>
      <c r="P207" s="158"/>
      <c r="Q207" s="158"/>
      <c r="R207" s="158"/>
      <c r="S207" s="158"/>
      <c r="T207" s="158"/>
      <c r="U207" s="158"/>
      <c r="V207" s="158"/>
      <c r="W207" s="158"/>
      <c r="X207" s="158"/>
      <c r="Y207" s="158"/>
      <c r="Z207" s="158"/>
      <c r="AA207" s="158"/>
      <c r="AB207" s="158"/>
      <c r="AC207" s="158"/>
      <c r="AD207" s="158"/>
      <c r="AE207" s="158"/>
    </row>
    <row r="208" spans="1:31" s="14" customFormat="1" ht="31.5" outlineLevel="1" x14ac:dyDescent="0.25">
      <c r="A208" s="66" t="s">
        <v>270</v>
      </c>
      <c r="B208" s="68" t="s">
        <v>268</v>
      </c>
      <c r="C208" s="107" t="s">
        <v>50</v>
      </c>
      <c r="D208" s="118">
        <f t="shared" si="47"/>
        <v>735</v>
      </c>
      <c r="E208" s="118">
        <f t="shared" si="48"/>
        <v>147</v>
      </c>
      <c r="F208" s="118">
        <f t="shared" si="49"/>
        <v>882</v>
      </c>
      <c r="G208" s="118">
        <v>814</v>
      </c>
      <c r="H208" s="304">
        <f t="shared" si="50"/>
        <v>882.37600000000009</v>
      </c>
      <c r="I208" s="304">
        <f t="shared" si="51"/>
        <v>882</v>
      </c>
      <c r="J208" s="158"/>
      <c r="K208" s="158"/>
      <c r="L208" s="158"/>
      <c r="M208" s="158"/>
      <c r="N208" s="158"/>
      <c r="O208" s="158"/>
      <c r="P208" s="158"/>
      <c r="Q208" s="158"/>
      <c r="R208" s="158"/>
      <c r="S208" s="158"/>
      <c r="T208" s="158"/>
      <c r="U208" s="158"/>
      <c r="V208" s="158"/>
      <c r="W208" s="158"/>
      <c r="X208" s="158"/>
      <c r="Y208" s="158"/>
      <c r="Z208" s="158"/>
      <c r="AA208" s="158"/>
      <c r="AB208" s="158"/>
      <c r="AC208" s="158"/>
      <c r="AD208" s="158"/>
      <c r="AE208" s="158"/>
    </row>
    <row r="209" spans="1:31" s="14" customFormat="1" outlineLevel="1" x14ac:dyDescent="0.25">
      <c r="A209" s="66" t="s">
        <v>271</v>
      </c>
      <c r="B209" s="68" t="s">
        <v>269</v>
      </c>
      <c r="C209" s="107" t="s">
        <v>50</v>
      </c>
      <c r="D209" s="118">
        <f t="shared" si="47"/>
        <v>71.666666666666657</v>
      </c>
      <c r="E209" s="118">
        <f t="shared" si="48"/>
        <v>14.333333333333336</v>
      </c>
      <c r="F209" s="118">
        <f t="shared" si="49"/>
        <v>86</v>
      </c>
      <c r="G209" s="118">
        <v>79</v>
      </c>
      <c r="H209" s="304">
        <f t="shared" si="50"/>
        <v>85.63600000000001</v>
      </c>
      <c r="I209" s="304">
        <f t="shared" si="51"/>
        <v>86</v>
      </c>
      <c r="J209" s="158"/>
      <c r="K209" s="158"/>
      <c r="L209" s="158"/>
      <c r="M209" s="158"/>
      <c r="N209" s="158"/>
      <c r="O209" s="158"/>
      <c r="P209" s="158"/>
      <c r="Q209" s="158"/>
      <c r="R209" s="158"/>
      <c r="S209" s="158"/>
      <c r="T209" s="158"/>
      <c r="U209" s="158"/>
      <c r="V209" s="158"/>
      <c r="W209" s="158"/>
      <c r="X209" s="158"/>
      <c r="Y209" s="158"/>
      <c r="Z209" s="158"/>
      <c r="AA209" s="158"/>
      <c r="AB209" s="158"/>
      <c r="AC209" s="158"/>
      <c r="AD209" s="158"/>
      <c r="AE209" s="158"/>
    </row>
    <row r="210" spans="1:31" s="14" customFormat="1" outlineLevel="1" x14ac:dyDescent="0.25">
      <c r="A210" s="66" t="s">
        <v>272</v>
      </c>
      <c r="B210" s="68" t="s">
        <v>1434</v>
      </c>
      <c r="C210" s="107" t="s">
        <v>50</v>
      </c>
      <c r="D210" s="118">
        <f t="shared" si="47"/>
        <v>278.33333333333331</v>
      </c>
      <c r="E210" s="118">
        <f t="shared" si="48"/>
        <v>55.666666666666679</v>
      </c>
      <c r="F210" s="118">
        <f t="shared" si="49"/>
        <v>334</v>
      </c>
      <c r="G210" s="118">
        <v>308</v>
      </c>
      <c r="H210" s="304">
        <f t="shared" si="50"/>
        <v>333.87200000000001</v>
      </c>
      <c r="I210" s="304">
        <f t="shared" si="51"/>
        <v>334</v>
      </c>
      <c r="J210" s="158"/>
      <c r="K210" s="158"/>
      <c r="L210" s="158"/>
      <c r="M210" s="158"/>
      <c r="N210" s="158"/>
      <c r="O210" s="158"/>
      <c r="P210" s="158"/>
      <c r="Q210" s="158"/>
      <c r="R210" s="158"/>
      <c r="S210" s="158"/>
      <c r="T210" s="158"/>
      <c r="U210" s="158"/>
      <c r="V210" s="158"/>
      <c r="W210" s="158"/>
      <c r="X210" s="158"/>
      <c r="Y210" s="158"/>
      <c r="Z210" s="158"/>
      <c r="AA210" s="158"/>
      <c r="AB210" s="158"/>
      <c r="AC210" s="158"/>
      <c r="AD210" s="158"/>
      <c r="AE210" s="158"/>
    </row>
    <row r="211" spans="1:31" s="14" customFormat="1" ht="21.75" customHeight="1" outlineLevel="1" x14ac:dyDescent="0.25">
      <c r="A211" s="66" t="s">
        <v>463</v>
      </c>
      <c r="B211" s="68" t="s">
        <v>464</v>
      </c>
      <c r="C211" s="107" t="s">
        <v>50</v>
      </c>
      <c r="D211" s="118">
        <f t="shared" si="47"/>
        <v>544.16666666666663</v>
      </c>
      <c r="E211" s="118">
        <f t="shared" si="48"/>
        <v>108.83333333333336</v>
      </c>
      <c r="F211" s="118">
        <f t="shared" si="49"/>
        <v>653</v>
      </c>
      <c r="G211" s="118">
        <v>602</v>
      </c>
      <c r="H211" s="304">
        <f t="shared" si="50"/>
        <v>652.5680000000001</v>
      </c>
      <c r="I211" s="304">
        <f t="shared" si="51"/>
        <v>653</v>
      </c>
      <c r="J211" s="158"/>
      <c r="K211" s="158"/>
      <c r="L211" s="158"/>
      <c r="M211" s="158"/>
      <c r="N211" s="158"/>
      <c r="O211" s="158"/>
      <c r="P211" s="158"/>
      <c r="Q211" s="158"/>
      <c r="R211" s="158"/>
      <c r="S211" s="158"/>
      <c r="T211" s="158"/>
      <c r="U211" s="158"/>
      <c r="V211" s="158"/>
      <c r="W211" s="158"/>
      <c r="X211" s="158"/>
      <c r="Y211" s="158"/>
      <c r="Z211" s="158"/>
      <c r="AA211" s="158"/>
      <c r="AB211" s="158"/>
      <c r="AC211" s="158"/>
      <c r="AD211" s="158"/>
      <c r="AE211" s="158"/>
    </row>
    <row r="212" spans="1:31" s="14" customFormat="1" outlineLevel="1" x14ac:dyDescent="0.25">
      <c r="A212" s="66" t="s">
        <v>465</v>
      </c>
      <c r="B212" s="68" t="s">
        <v>454</v>
      </c>
      <c r="C212" s="107" t="s">
        <v>50</v>
      </c>
      <c r="D212" s="118">
        <f t="shared" si="47"/>
        <v>453.33333333333331</v>
      </c>
      <c r="E212" s="118">
        <f t="shared" si="48"/>
        <v>90.666666666666686</v>
      </c>
      <c r="F212" s="118">
        <f t="shared" si="49"/>
        <v>544</v>
      </c>
      <c r="G212" s="118">
        <v>502</v>
      </c>
      <c r="H212" s="304">
        <f t="shared" si="50"/>
        <v>544.16800000000001</v>
      </c>
      <c r="I212" s="304">
        <f t="shared" si="51"/>
        <v>544</v>
      </c>
      <c r="J212" s="158"/>
      <c r="K212" s="158"/>
      <c r="L212" s="158"/>
      <c r="M212" s="158"/>
      <c r="N212" s="158"/>
      <c r="O212" s="158"/>
      <c r="P212" s="158"/>
      <c r="Q212" s="158"/>
      <c r="R212" s="158"/>
      <c r="S212" s="158"/>
      <c r="T212" s="158"/>
      <c r="U212" s="158"/>
      <c r="V212" s="158"/>
      <c r="W212" s="158"/>
      <c r="X212" s="158"/>
      <c r="Y212" s="158"/>
      <c r="Z212" s="158"/>
      <c r="AA212" s="158"/>
      <c r="AB212" s="158"/>
      <c r="AC212" s="158"/>
      <c r="AD212" s="158"/>
      <c r="AE212" s="158"/>
    </row>
    <row r="213" spans="1:31" s="14" customFormat="1" outlineLevel="1" x14ac:dyDescent="0.25">
      <c r="A213" s="66" t="s">
        <v>466</v>
      </c>
      <c r="B213" s="68" t="s">
        <v>467</v>
      </c>
      <c r="C213" s="107" t="s">
        <v>50</v>
      </c>
      <c r="D213" s="118">
        <f t="shared" si="47"/>
        <v>116.66666666666666</v>
      </c>
      <c r="E213" s="118">
        <f t="shared" si="48"/>
        <v>23.333333333333336</v>
      </c>
      <c r="F213" s="118">
        <f t="shared" si="49"/>
        <v>140</v>
      </c>
      <c r="G213" s="118">
        <v>129</v>
      </c>
      <c r="H213" s="304">
        <f t="shared" si="50"/>
        <v>139.83600000000001</v>
      </c>
      <c r="I213" s="304">
        <f t="shared" si="51"/>
        <v>140</v>
      </c>
      <c r="J213" s="158"/>
      <c r="K213" s="158"/>
      <c r="L213" s="158"/>
      <c r="M213" s="158"/>
      <c r="N213" s="158"/>
      <c r="O213" s="158"/>
      <c r="P213" s="158"/>
      <c r="Q213" s="158"/>
      <c r="R213" s="158"/>
      <c r="S213" s="158"/>
      <c r="T213" s="158"/>
      <c r="U213" s="158"/>
      <c r="V213" s="158"/>
      <c r="W213" s="158"/>
      <c r="X213" s="158"/>
      <c r="Y213" s="158"/>
      <c r="Z213" s="158"/>
      <c r="AA213" s="158"/>
      <c r="AB213" s="158"/>
      <c r="AC213" s="158"/>
      <c r="AD213" s="158"/>
      <c r="AE213" s="158"/>
    </row>
    <row r="214" spans="1:31" s="14" customFormat="1" outlineLevel="1" x14ac:dyDescent="0.25">
      <c r="A214" s="66" t="s">
        <v>1929</v>
      </c>
      <c r="B214" s="68" t="s">
        <v>455</v>
      </c>
      <c r="C214" s="107" t="s">
        <v>50</v>
      </c>
      <c r="D214" s="118">
        <f t="shared" si="47"/>
        <v>2025.8333333333333</v>
      </c>
      <c r="E214" s="118">
        <f t="shared" si="48"/>
        <v>405.16666666666674</v>
      </c>
      <c r="F214" s="118">
        <f t="shared" si="49"/>
        <v>2431</v>
      </c>
      <c r="G214" s="118">
        <v>2243</v>
      </c>
      <c r="H214" s="304">
        <f t="shared" si="50"/>
        <v>2431.4120000000003</v>
      </c>
      <c r="I214" s="304">
        <f t="shared" si="51"/>
        <v>2431</v>
      </c>
      <c r="J214" s="158"/>
      <c r="K214" s="158"/>
      <c r="L214" s="158"/>
      <c r="M214" s="158"/>
      <c r="N214" s="158"/>
      <c r="O214" s="158"/>
      <c r="P214" s="158"/>
      <c r="Q214" s="158"/>
      <c r="R214" s="158"/>
      <c r="S214" s="158"/>
      <c r="T214" s="158"/>
      <c r="U214" s="158"/>
      <c r="V214" s="158"/>
      <c r="W214" s="158"/>
      <c r="X214" s="158"/>
      <c r="Y214" s="158"/>
      <c r="Z214" s="158"/>
      <c r="AA214" s="158"/>
      <c r="AB214" s="158"/>
      <c r="AC214" s="158"/>
      <c r="AD214" s="158"/>
      <c r="AE214" s="158"/>
    </row>
    <row r="215" spans="1:31" s="14" customFormat="1" outlineLevel="1" x14ac:dyDescent="0.25">
      <c r="A215" s="66" t="s">
        <v>468</v>
      </c>
      <c r="B215" s="68" t="s">
        <v>456</v>
      </c>
      <c r="C215" s="107" t="s">
        <v>50</v>
      </c>
      <c r="D215" s="118">
        <f t="shared" si="47"/>
        <v>2025.8333333333333</v>
      </c>
      <c r="E215" s="118">
        <f t="shared" si="48"/>
        <v>405.16666666666674</v>
      </c>
      <c r="F215" s="118">
        <f t="shared" si="49"/>
        <v>2431</v>
      </c>
      <c r="G215" s="118">
        <v>2243</v>
      </c>
      <c r="H215" s="304">
        <f t="shared" si="50"/>
        <v>2431.4120000000003</v>
      </c>
      <c r="I215" s="304">
        <f t="shared" si="51"/>
        <v>2431</v>
      </c>
      <c r="J215" s="158"/>
      <c r="K215" s="158"/>
      <c r="L215" s="158"/>
      <c r="M215" s="158"/>
      <c r="N215" s="158"/>
      <c r="O215" s="158"/>
      <c r="P215" s="158"/>
      <c r="Q215" s="158"/>
      <c r="R215" s="158"/>
      <c r="S215" s="158"/>
      <c r="T215" s="158"/>
      <c r="U215" s="158"/>
      <c r="V215" s="158"/>
      <c r="W215" s="158"/>
      <c r="X215" s="158"/>
      <c r="Y215" s="158"/>
      <c r="Z215" s="158"/>
      <c r="AA215" s="158"/>
      <c r="AB215" s="158"/>
      <c r="AC215" s="158"/>
      <c r="AD215" s="158"/>
      <c r="AE215" s="158"/>
    </row>
    <row r="216" spans="1:31" s="14" customFormat="1" ht="31.5" outlineLevel="1" x14ac:dyDescent="0.25">
      <c r="A216" s="228" t="s">
        <v>469</v>
      </c>
      <c r="B216" s="68" t="s">
        <v>3066</v>
      </c>
      <c r="C216" s="227" t="s">
        <v>3067</v>
      </c>
      <c r="D216" s="118">
        <f t="shared" si="47"/>
        <v>315.83333333333331</v>
      </c>
      <c r="E216" s="118">
        <f t="shared" si="48"/>
        <v>63.166666666666679</v>
      </c>
      <c r="F216" s="118">
        <f t="shared" si="49"/>
        <v>379</v>
      </c>
      <c r="G216" s="118">
        <v>350</v>
      </c>
      <c r="H216" s="304">
        <f t="shared" si="50"/>
        <v>379.40000000000003</v>
      </c>
      <c r="I216" s="304">
        <f t="shared" si="51"/>
        <v>379</v>
      </c>
      <c r="J216" s="158"/>
      <c r="K216" s="158"/>
      <c r="L216" s="158"/>
      <c r="M216" s="158"/>
      <c r="N216" s="158"/>
      <c r="O216" s="158"/>
      <c r="P216" s="158"/>
      <c r="Q216" s="158"/>
      <c r="R216" s="158"/>
      <c r="S216" s="158"/>
      <c r="T216" s="158"/>
      <c r="U216" s="158"/>
      <c r="V216" s="158"/>
      <c r="W216" s="158"/>
      <c r="X216" s="158"/>
      <c r="Y216" s="158"/>
      <c r="Z216" s="158"/>
      <c r="AA216" s="158"/>
      <c r="AB216" s="158"/>
      <c r="AC216" s="158"/>
      <c r="AD216" s="158"/>
      <c r="AE216" s="158"/>
    </row>
    <row r="217" spans="1:31" s="14" customFormat="1" ht="31.5" outlineLevel="1" x14ac:dyDescent="0.25">
      <c r="A217" s="228" t="s">
        <v>1930</v>
      </c>
      <c r="B217" s="24" t="s">
        <v>3567</v>
      </c>
      <c r="C217" s="251" t="s">
        <v>6</v>
      </c>
      <c r="D217" s="118">
        <f t="shared" si="47"/>
        <v>2700</v>
      </c>
      <c r="E217" s="118">
        <f t="shared" si="48"/>
        <v>540</v>
      </c>
      <c r="F217" s="118">
        <v>3240</v>
      </c>
      <c r="G217" s="130"/>
      <c r="H217" s="304"/>
      <c r="I217" s="304"/>
      <c r="J217" s="158"/>
      <c r="K217" s="158"/>
      <c r="L217" s="158"/>
      <c r="M217" s="158"/>
      <c r="N217" s="158"/>
      <c r="O217" s="158"/>
      <c r="P217" s="158"/>
      <c r="Q217" s="158"/>
      <c r="R217" s="158"/>
      <c r="S217" s="158"/>
      <c r="T217" s="158"/>
      <c r="U217" s="158"/>
      <c r="V217" s="158"/>
      <c r="W217" s="158"/>
      <c r="X217" s="158"/>
      <c r="Y217" s="158"/>
      <c r="Z217" s="158"/>
      <c r="AA217" s="158"/>
      <c r="AB217" s="158"/>
      <c r="AC217" s="158"/>
      <c r="AD217" s="158"/>
      <c r="AE217" s="158"/>
    </row>
    <row r="218" spans="1:31" s="14" customFormat="1" outlineLevel="1" x14ac:dyDescent="0.25">
      <c r="A218" s="228" t="s">
        <v>1931</v>
      </c>
      <c r="B218" s="24" t="s">
        <v>3771</v>
      </c>
      <c r="C218" s="372" t="s">
        <v>50</v>
      </c>
      <c r="D218" s="118">
        <f t="shared" si="47"/>
        <v>1016.6666666666666</v>
      </c>
      <c r="E218" s="118">
        <f t="shared" si="48"/>
        <v>203.33333333333337</v>
      </c>
      <c r="F218" s="118">
        <v>1220</v>
      </c>
      <c r="G218" s="130"/>
      <c r="H218" s="304"/>
      <c r="I218" s="304"/>
      <c r="J218" s="158"/>
      <c r="K218" s="158"/>
      <c r="L218" s="158"/>
      <c r="M218" s="158"/>
      <c r="N218" s="158"/>
      <c r="O218" s="158"/>
      <c r="P218" s="158"/>
      <c r="Q218" s="158"/>
      <c r="R218" s="158"/>
      <c r="S218" s="158"/>
      <c r="T218" s="158"/>
      <c r="U218" s="158"/>
      <c r="V218" s="158"/>
      <c r="W218" s="158"/>
      <c r="X218" s="158"/>
      <c r="Y218" s="158"/>
      <c r="Z218" s="158"/>
      <c r="AA218" s="158"/>
      <c r="AB218" s="158"/>
      <c r="AC218" s="158"/>
      <c r="AD218" s="158"/>
      <c r="AE218" s="158"/>
    </row>
    <row r="219" spans="1:31" s="14" customFormat="1" ht="18.75" x14ac:dyDescent="0.25">
      <c r="A219" s="392" t="s">
        <v>417</v>
      </c>
      <c r="B219" s="393"/>
      <c r="C219" s="393"/>
      <c r="D219" s="393"/>
      <c r="E219" s="393"/>
      <c r="F219" s="393"/>
      <c r="G219" s="394"/>
      <c r="H219" s="307"/>
      <c r="I219" s="307"/>
      <c r="J219" s="158"/>
      <c r="K219" s="158"/>
      <c r="L219" s="158"/>
      <c r="M219" s="158"/>
      <c r="N219" s="158"/>
      <c r="O219" s="158"/>
      <c r="P219" s="158"/>
      <c r="Q219" s="158"/>
      <c r="R219" s="158"/>
      <c r="S219" s="158"/>
      <c r="T219" s="158"/>
      <c r="U219" s="158"/>
      <c r="V219" s="158"/>
      <c r="W219" s="158"/>
      <c r="X219" s="158"/>
      <c r="Y219" s="158"/>
      <c r="Z219" s="158"/>
      <c r="AA219" s="158"/>
      <c r="AB219" s="158"/>
      <c r="AC219" s="158"/>
      <c r="AD219" s="158"/>
      <c r="AE219" s="158"/>
    </row>
    <row r="220" spans="1:31" s="14" customFormat="1" ht="18.75" outlineLevel="1" x14ac:dyDescent="0.25">
      <c r="A220" s="404" t="s">
        <v>2113</v>
      </c>
      <c r="B220" s="405"/>
      <c r="C220" s="405"/>
      <c r="D220" s="405"/>
      <c r="E220" s="405"/>
      <c r="F220" s="405"/>
      <c r="G220" s="406"/>
      <c r="H220" s="308"/>
      <c r="I220" s="308"/>
      <c r="J220" s="158"/>
      <c r="K220" s="158"/>
      <c r="L220" s="158"/>
      <c r="M220" s="158"/>
      <c r="N220" s="158"/>
      <c r="O220" s="158"/>
      <c r="P220" s="158"/>
      <c r="Q220" s="158"/>
      <c r="R220" s="158"/>
      <c r="S220" s="158"/>
      <c r="T220" s="158"/>
      <c r="U220" s="158"/>
      <c r="V220" s="158"/>
      <c r="W220" s="158"/>
      <c r="X220" s="158"/>
      <c r="Y220" s="158"/>
      <c r="Z220" s="158"/>
      <c r="AA220" s="158"/>
      <c r="AB220" s="158"/>
      <c r="AC220" s="158"/>
      <c r="AD220" s="158"/>
      <c r="AE220" s="158"/>
    </row>
    <row r="221" spans="1:31" s="14" customFormat="1" outlineLevel="2" x14ac:dyDescent="0.25">
      <c r="A221" s="25" t="s">
        <v>2116</v>
      </c>
      <c r="B221" s="26" t="s">
        <v>214</v>
      </c>
      <c r="C221" s="107" t="s">
        <v>6</v>
      </c>
      <c r="D221" s="118">
        <f t="shared" ref="D221:D243" si="52">F221-E221</f>
        <v>156.66666666666666</v>
      </c>
      <c r="E221" s="118">
        <f t="shared" ref="E221:E243" si="53">F221/1.2*0.2</f>
        <v>31.333333333333339</v>
      </c>
      <c r="F221" s="118">
        <f t="shared" ref="F221:F240" si="54">I221</f>
        <v>188</v>
      </c>
      <c r="G221" s="118">
        <v>173</v>
      </c>
      <c r="H221" s="304">
        <f t="shared" ref="H221:H240" si="55">G221*$H$8</f>
        <v>187.53200000000001</v>
      </c>
      <c r="I221" s="304">
        <f t="shared" ref="I221:I240" si="56">ROUND(H221,0)</f>
        <v>188</v>
      </c>
      <c r="J221" s="158"/>
      <c r="K221" s="158"/>
      <c r="L221" s="158"/>
      <c r="M221" s="158"/>
      <c r="N221" s="158"/>
      <c r="O221" s="158"/>
      <c r="P221" s="158"/>
      <c r="Q221" s="158"/>
      <c r="R221" s="158"/>
      <c r="S221" s="158"/>
      <c r="T221" s="158"/>
      <c r="U221" s="158"/>
      <c r="V221" s="158"/>
      <c r="W221" s="158"/>
      <c r="X221" s="158"/>
      <c r="Y221" s="158"/>
      <c r="Z221" s="158"/>
      <c r="AA221" s="158"/>
      <c r="AB221" s="158"/>
      <c r="AC221" s="158"/>
      <c r="AD221" s="158"/>
      <c r="AE221" s="158"/>
    </row>
    <row r="222" spans="1:31" s="14" customFormat="1" outlineLevel="2" x14ac:dyDescent="0.25">
      <c r="A222" s="25" t="s">
        <v>2117</v>
      </c>
      <c r="B222" s="26" t="s">
        <v>142</v>
      </c>
      <c r="C222" s="107" t="s">
        <v>6</v>
      </c>
      <c r="D222" s="118">
        <f t="shared" si="52"/>
        <v>163.33333333333331</v>
      </c>
      <c r="E222" s="118">
        <f t="shared" si="53"/>
        <v>32.666666666666671</v>
      </c>
      <c r="F222" s="118">
        <f t="shared" si="54"/>
        <v>196</v>
      </c>
      <c r="G222" s="118">
        <v>181</v>
      </c>
      <c r="H222" s="304">
        <f t="shared" si="55"/>
        <v>196.20400000000001</v>
      </c>
      <c r="I222" s="304">
        <f t="shared" si="56"/>
        <v>196</v>
      </c>
      <c r="J222" s="158"/>
      <c r="K222" s="158"/>
      <c r="L222" s="158"/>
      <c r="M222" s="158"/>
      <c r="N222" s="158"/>
      <c r="O222" s="158"/>
      <c r="P222" s="158"/>
      <c r="Q222" s="158"/>
      <c r="R222" s="158"/>
      <c r="S222" s="158"/>
      <c r="T222" s="158"/>
      <c r="U222" s="158"/>
      <c r="V222" s="158"/>
      <c r="W222" s="158"/>
      <c r="X222" s="158"/>
      <c r="Y222" s="158"/>
      <c r="Z222" s="158"/>
      <c r="AA222" s="158"/>
      <c r="AB222" s="158"/>
      <c r="AC222" s="158"/>
      <c r="AD222" s="158"/>
      <c r="AE222" s="158"/>
    </row>
    <row r="223" spans="1:31" s="14" customFormat="1" outlineLevel="2" x14ac:dyDescent="0.25">
      <c r="A223" s="25" t="s">
        <v>2118</v>
      </c>
      <c r="B223" s="26" t="s">
        <v>244</v>
      </c>
      <c r="C223" s="107" t="s">
        <v>6</v>
      </c>
      <c r="D223" s="118">
        <f t="shared" si="52"/>
        <v>222.5</v>
      </c>
      <c r="E223" s="118">
        <f t="shared" si="53"/>
        <v>44.5</v>
      </c>
      <c r="F223" s="118">
        <f t="shared" si="54"/>
        <v>267</v>
      </c>
      <c r="G223" s="118">
        <v>246</v>
      </c>
      <c r="H223" s="304">
        <f t="shared" si="55"/>
        <v>266.66400000000004</v>
      </c>
      <c r="I223" s="304">
        <f t="shared" si="56"/>
        <v>267</v>
      </c>
      <c r="J223" s="158"/>
      <c r="K223" s="158"/>
      <c r="L223" s="158"/>
      <c r="M223" s="158"/>
      <c r="N223" s="158"/>
      <c r="O223" s="158"/>
      <c r="P223" s="158"/>
      <c r="Q223" s="158"/>
      <c r="R223" s="158"/>
      <c r="S223" s="158"/>
      <c r="T223" s="158"/>
      <c r="U223" s="158"/>
      <c r="V223" s="158"/>
      <c r="W223" s="158"/>
      <c r="X223" s="158"/>
      <c r="Y223" s="158"/>
      <c r="Z223" s="158"/>
      <c r="AA223" s="158"/>
      <c r="AB223" s="158"/>
      <c r="AC223" s="158"/>
      <c r="AD223" s="158"/>
      <c r="AE223" s="158"/>
    </row>
    <row r="224" spans="1:31" s="14" customFormat="1" outlineLevel="2" x14ac:dyDescent="0.25">
      <c r="A224" s="25" t="s">
        <v>2119</v>
      </c>
      <c r="B224" s="26" t="s">
        <v>141</v>
      </c>
      <c r="C224" s="107" t="s">
        <v>6</v>
      </c>
      <c r="D224" s="118">
        <f t="shared" si="52"/>
        <v>152.5</v>
      </c>
      <c r="E224" s="118">
        <f t="shared" si="53"/>
        <v>30.5</v>
      </c>
      <c r="F224" s="118">
        <f t="shared" si="54"/>
        <v>183</v>
      </c>
      <c r="G224" s="118">
        <v>169</v>
      </c>
      <c r="H224" s="304">
        <f t="shared" si="55"/>
        <v>183.19600000000003</v>
      </c>
      <c r="I224" s="304">
        <f t="shared" si="56"/>
        <v>183</v>
      </c>
      <c r="J224" s="158"/>
      <c r="K224" s="158"/>
      <c r="L224" s="158"/>
      <c r="M224" s="158"/>
      <c r="N224" s="158"/>
      <c r="O224" s="158"/>
      <c r="P224" s="158"/>
      <c r="Q224" s="158"/>
      <c r="R224" s="158"/>
      <c r="S224" s="158"/>
      <c r="T224" s="158"/>
      <c r="U224" s="158"/>
      <c r="V224" s="158"/>
      <c r="W224" s="158"/>
      <c r="X224" s="158"/>
      <c r="Y224" s="158"/>
      <c r="Z224" s="158"/>
      <c r="AA224" s="158"/>
      <c r="AB224" s="158"/>
      <c r="AC224" s="158"/>
      <c r="AD224" s="158"/>
      <c r="AE224" s="158"/>
    </row>
    <row r="225" spans="1:31" s="14" customFormat="1" outlineLevel="2" x14ac:dyDescent="0.25">
      <c r="A225" s="25" t="s">
        <v>2120</v>
      </c>
      <c r="B225" s="26" t="s">
        <v>1433</v>
      </c>
      <c r="C225" s="107" t="s">
        <v>6</v>
      </c>
      <c r="D225" s="118">
        <f t="shared" si="52"/>
        <v>253.33333333333331</v>
      </c>
      <c r="E225" s="118">
        <f t="shared" si="53"/>
        <v>50.666666666666671</v>
      </c>
      <c r="F225" s="118">
        <f t="shared" si="54"/>
        <v>304</v>
      </c>
      <c r="G225" s="118">
        <v>280</v>
      </c>
      <c r="H225" s="304">
        <f t="shared" si="55"/>
        <v>303.52000000000004</v>
      </c>
      <c r="I225" s="304">
        <f t="shared" si="56"/>
        <v>304</v>
      </c>
      <c r="J225" s="158"/>
      <c r="K225" s="158"/>
      <c r="L225" s="158"/>
      <c r="M225" s="158"/>
      <c r="N225" s="158"/>
      <c r="O225" s="158"/>
      <c r="P225" s="158"/>
      <c r="Q225" s="158"/>
      <c r="R225" s="158"/>
      <c r="S225" s="158"/>
      <c r="T225" s="158"/>
      <c r="U225" s="158"/>
      <c r="V225" s="158"/>
      <c r="W225" s="158"/>
      <c r="X225" s="158"/>
      <c r="Y225" s="158"/>
      <c r="Z225" s="158"/>
      <c r="AA225" s="158"/>
      <c r="AB225" s="158"/>
      <c r="AC225" s="158"/>
      <c r="AD225" s="158"/>
      <c r="AE225" s="158"/>
    </row>
    <row r="226" spans="1:31" s="14" customFormat="1" outlineLevel="2" x14ac:dyDescent="0.25">
      <c r="A226" s="25" t="s">
        <v>2121</v>
      </c>
      <c r="B226" s="26" t="s">
        <v>137</v>
      </c>
      <c r="C226" s="107" t="s">
        <v>6</v>
      </c>
      <c r="D226" s="118">
        <f t="shared" si="52"/>
        <v>156.66666666666666</v>
      </c>
      <c r="E226" s="118">
        <f t="shared" si="53"/>
        <v>31.333333333333339</v>
      </c>
      <c r="F226" s="118">
        <f t="shared" si="54"/>
        <v>188</v>
      </c>
      <c r="G226" s="118">
        <v>173</v>
      </c>
      <c r="H226" s="304">
        <f t="shared" si="55"/>
        <v>187.53200000000001</v>
      </c>
      <c r="I226" s="304">
        <f t="shared" si="56"/>
        <v>188</v>
      </c>
      <c r="J226" s="158"/>
      <c r="K226" s="158"/>
      <c r="L226" s="158"/>
      <c r="M226" s="158"/>
      <c r="N226" s="158"/>
      <c r="O226" s="158"/>
      <c r="P226" s="158"/>
      <c r="Q226" s="158"/>
      <c r="R226" s="158"/>
      <c r="S226" s="158"/>
      <c r="T226" s="158"/>
      <c r="U226" s="158"/>
      <c r="V226" s="158"/>
      <c r="W226" s="158"/>
      <c r="X226" s="158"/>
      <c r="Y226" s="158"/>
      <c r="Z226" s="158"/>
      <c r="AA226" s="158"/>
      <c r="AB226" s="158"/>
      <c r="AC226" s="158"/>
      <c r="AD226" s="158"/>
      <c r="AE226" s="158"/>
    </row>
    <row r="227" spans="1:31" s="14" customFormat="1" outlineLevel="2" x14ac:dyDescent="0.25">
      <c r="A227" s="25" t="s">
        <v>2122</v>
      </c>
      <c r="B227" s="26" t="s">
        <v>139</v>
      </c>
      <c r="C227" s="107" t="s">
        <v>6</v>
      </c>
      <c r="D227" s="118">
        <f t="shared" si="52"/>
        <v>154.16666666666666</v>
      </c>
      <c r="E227" s="118">
        <f t="shared" si="53"/>
        <v>30.833333333333339</v>
      </c>
      <c r="F227" s="118">
        <f t="shared" si="54"/>
        <v>185</v>
      </c>
      <c r="G227" s="118">
        <v>171</v>
      </c>
      <c r="H227" s="304">
        <f t="shared" si="55"/>
        <v>185.364</v>
      </c>
      <c r="I227" s="304">
        <f t="shared" si="56"/>
        <v>185</v>
      </c>
      <c r="J227" s="158"/>
      <c r="K227" s="158"/>
      <c r="L227" s="158"/>
      <c r="M227" s="158"/>
      <c r="N227" s="158"/>
      <c r="O227" s="158"/>
      <c r="P227" s="158"/>
      <c r="Q227" s="158"/>
      <c r="R227" s="158"/>
      <c r="S227" s="158"/>
      <c r="T227" s="158"/>
      <c r="U227" s="158"/>
      <c r="V227" s="158"/>
      <c r="W227" s="158"/>
      <c r="X227" s="158"/>
      <c r="Y227" s="158"/>
      <c r="Z227" s="158"/>
      <c r="AA227" s="158"/>
      <c r="AB227" s="158"/>
      <c r="AC227" s="158"/>
      <c r="AD227" s="158"/>
      <c r="AE227" s="158"/>
    </row>
    <row r="228" spans="1:31" s="14" customFormat="1" outlineLevel="2" x14ac:dyDescent="0.25">
      <c r="A228" s="25" t="s">
        <v>2123</v>
      </c>
      <c r="B228" s="24" t="s">
        <v>231</v>
      </c>
      <c r="C228" s="107" t="s">
        <v>6</v>
      </c>
      <c r="D228" s="118">
        <f t="shared" si="52"/>
        <v>260</v>
      </c>
      <c r="E228" s="118">
        <f t="shared" si="53"/>
        <v>52</v>
      </c>
      <c r="F228" s="118">
        <f t="shared" si="54"/>
        <v>312</v>
      </c>
      <c r="G228" s="118">
        <v>288</v>
      </c>
      <c r="H228" s="304">
        <f t="shared" si="55"/>
        <v>312.19200000000001</v>
      </c>
      <c r="I228" s="304">
        <f t="shared" si="56"/>
        <v>312</v>
      </c>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row>
    <row r="229" spans="1:31" s="14" customFormat="1" outlineLevel="2" x14ac:dyDescent="0.25">
      <c r="A229" s="25" t="s">
        <v>2124</v>
      </c>
      <c r="B229" s="39" t="s">
        <v>140</v>
      </c>
      <c r="C229" s="107" t="s">
        <v>6</v>
      </c>
      <c r="D229" s="118">
        <f t="shared" si="52"/>
        <v>110</v>
      </c>
      <c r="E229" s="118">
        <f t="shared" si="53"/>
        <v>22</v>
      </c>
      <c r="F229" s="118">
        <f t="shared" si="54"/>
        <v>132</v>
      </c>
      <c r="G229" s="118">
        <v>122</v>
      </c>
      <c r="H229" s="304">
        <f t="shared" si="55"/>
        <v>132.24800000000002</v>
      </c>
      <c r="I229" s="304">
        <f t="shared" si="56"/>
        <v>132</v>
      </c>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row>
    <row r="230" spans="1:31" s="14" customFormat="1" outlineLevel="2" x14ac:dyDescent="0.25">
      <c r="A230" s="25" t="s">
        <v>2125</v>
      </c>
      <c r="B230" s="39" t="s">
        <v>248</v>
      </c>
      <c r="C230" s="107" t="s">
        <v>6</v>
      </c>
      <c r="D230" s="118">
        <f t="shared" si="52"/>
        <v>231.66666666666666</v>
      </c>
      <c r="E230" s="118">
        <f t="shared" si="53"/>
        <v>46.333333333333343</v>
      </c>
      <c r="F230" s="118">
        <f t="shared" si="54"/>
        <v>278</v>
      </c>
      <c r="G230" s="118">
        <v>256</v>
      </c>
      <c r="H230" s="304">
        <f t="shared" si="55"/>
        <v>277.50400000000002</v>
      </c>
      <c r="I230" s="304">
        <f t="shared" si="56"/>
        <v>278</v>
      </c>
      <c r="J230" s="158"/>
      <c r="K230" s="158"/>
      <c r="L230" s="158"/>
      <c r="M230" s="158"/>
      <c r="N230" s="158"/>
      <c r="O230" s="158"/>
      <c r="P230" s="158"/>
      <c r="Q230" s="158"/>
      <c r="R230" s="158"/>
      <c r="S230" s="158"/>
      <c r="T230" s="158"/>
      <c r="U230" s="158"/>
      <c r="V230" s="158"/>
      <c r="W230" s="158"/>
      <c r="X230" s="158"/>
      <c r="Y230" s="158"/>
      <c r="Z230" s="158"/>
      <c r="AA230" s="158"/>
      <c r="AB230" s="158"/>
      <c r="AC230" s="158"/>
      <c r="AD230" s="158"/>
      <c r="AE230" s="158"/>
    </row>
    <row r="231" spans="1:31" s="14" customFormat="1" outlineLevel="2" x14ac:dyDescent="0.25">
      <c r="A231" s="25" t="s">
        <v>2126</v>
      </c>
      <c r="B231" s="63" t="s">
        <v>249</v>
      </c>
      <c r="C231" s="107" t="s">
        <v>6</v>
      </c>
      <c r="D231" s="118">
        <f t="shared" si="52"/>
        <v>289.16666666666663</v>
      </c>
      <c r="E231" s="118">
        <f t="shared" si="53"/>
        <v>57.833333333333343</v>
      </c>
      <c r="F231" s="118">
        <f t="shared" si="54"/>
        <v>347</v>
      </c>
      <c r="G231" s="118">
        <v>320</v>
      </c>
      <c r="H231" s="304">
        <f t="shared" si="55"/>
        <v>346.88</v>
      </c>
      <c r="I231" s="304">
        <f t="shared" si="56"/>
        <v>347</v>
      </c>
      <c r="J231" s="158"/>
      <c r="K231" s="158"/>
      <c r="L231" s="158"/>
      <c r="M231" s="158"/>
      <c r="N231" s="158"/>
      <c r="O231" s="158"/>
      <c r="P231" s="158"/>
      <c r="Q231" s="158"/>
      <c r="R231" s="158"/>
      <c r="S231" s="158"/>
      <c r="T231" s="158"/>
      <c r="U231" s="158"/>
      <c r="V231" s="158"/>
      <c r="W231" s="158"/>
      <c r="X231" s="158"/>
      <c r="Y231" s="158"/>
      <c r="Z231" s="158"/>
      <c r="AA231" s="158"/>
      <c r="AB231" s="158"/>
      <c r="AC231" s="158"/>
      <c r="AD231" s="158"/>
      <c r="AE231" s="158"/>
    </row>
    <row r="232" spans="1:31" s="14" customFormat="1" outlineLevel="2" x14ac:dyDescent="0.25">
      <c r="A232" s="25" t="s">
        <v>2127</v>
      </c>
      <c r="B232" s="63" t="s">
        <v>438</v>
      </c>
      <c r="C232" s="107" t="s">
        <v>6</v>
      </c>
      <c r="D232" s="118">
        <f t="shared" si="52"/>
        <v>462.5</v>
      </c>
      <c r="E232" s="118">
        <f t="shared" si="53"/>
        <v>92.5</v>
      </c>
      <c r="F232" s="118">
        <f t="shared" si="54"/>
        <v>555</v>
      </c>
      <c r="G232" s="118">
        <v>512</v>
      </c>
      <c r="H232" s="304">
        <f t="shared" si="55"/>
        <v>555.00800000000004</v>
      </c>
      <c r="I232" s="304">
        <f t="shared" si="56"/>
        <v>555</v>
      </c>
      <c r="J232" s="158"/>
      <c r="K232" s="158"/>
      <c r="L232" s="158"/>
      <c r="M232" s="158"/>
      <c r="N232" s="158"/>
      <c r="O232" s="158"/>
      <c r="P232" s="158"/>
      <c r="Q232" s="158"/>
      <c r="R232" s="158"/>
      <c r="S232" s="158"/>
      <c r="T232" s="158"/>
      <c r="U232" s="158"/>
      <c r="V232" s="158"/>
      <c r="W232" s="158"/>
      <c r="X232" s="158"/>
      <c r="Y232" s="158"/>
      <c r="Z232" s="158"/>
      <c r="AA232" s="158"/>
      <c r="AB232" s="158"/>
      <c r="AC232" s="158"/>
      <c r="AD232" s="158"/>
      <c r="AE232" s="158"/>
    </row>
    <row r="233" spans="1:31" s="14" customFormat="1" outlineLevel="2" x14ac:dyDescent="0.25">
      <c r="A233" s="25" t="s">
        <v>2128</v>
      </c>
      <c r="B233" s="63" t="s">
        <v>1435</v>
      </c>
      <c r="C233" s="107" t="s">
        <v>6</v>
      </c>
      <c r="D233" s="118">
        <f t="shared" si="52"/>
        <v>231.66666666666666</v>
      </c>
      <c r="E233" s="118">
        <f t="shared" si="53"/>
        <v>46.333333333333343</v>
      </c>
      <c r="F233" s="118">
        <f t="shared" si="54"/>
        <v>278</v>
      </c>
      <c r="G233" s="118">
        <v>256</v>
      </c>
      <c r="H233" s="304">
        <f t="shared" si="55"/>
        <v>277.50400000000002</v>
      </c>
      <c r="I233" s="304">
        <f t="shared" si="56"/>
        <v>278</v>
      </c>
      <c r="J233" s="158"/>
      <c r="K233" s="158"/>
      <c r="L233" s="158"/>
      <c r="M233" s="158"/>
      <c r="N233" s="158"/>
      <c r="O233" s="158"/>
      <c r="P233" s="158"/>
      <c r="Q233" s="158"/>
      <c r="R233" s="158"/>
      <c r="S233" s="158"/>
      <c r="T233" s="158"/>
      <c r="U233" s="158"/>
      <c r="V233" s="158"/>
      <c r="W233" s="158"/>
      <c r="X233" s="158"/>
      <c r="Y233" s="158"/>
      <c r="Z233" s="158"/>
      <c r="AA233" s="158"/>
      <c r="AB233" s="158"/>
      <c r="AC233" s="158"/>
      <c r="AD233" s="158"/>
      <c r="AE233" s="158"/>
    </row>
    <row r="234" spans="1:31" s="14" customFormat="1" outlineLevel="2" x14ac:dyDescent="0.25">
      <c r="A234" s="25" t="s">
        <v>2129</v>
      </c>
      <c r="B234" s="63" t="s">
        <v>1436</v>
      </c>
      <c r="C234" s="133" t="s">
        <v>6</v>
      </c>
      <c r="D234" s="118">
        <f t="shared" si="52"/>
        <v>231.66666666666666</v>
      </c>
      <c r="E234" s="118">
        <f t="shared" si="53"/>
        <v>46.333333333333343</v>
      </c>
      <c r="F234" s="118">
        <f t="shared" si="54"/>
        <v>278</v>
      </c>
      <c r="G234" s="118">
        <v>256</v>
      </c>
      <c r="H234" s="304">
        <f t="shared" si="55"/>
        <v>277.50400000000002</v>
      </c>
      <c r="I234" s="304">
        <f t="shared" si="56"/>
        <v>278</v>
      </c>
      <c r="J234" s="158"/>
      <c r="K234" s="158"/>
      <c r="L234" s="158"/>
      <c r="M234" s="158"/>
      <c r="N234" s="158"/>
      <c r="O234" s="158"/>
      <c r="P234" s="158"/>
      <c r="Q234" s="158"/>
      <c r="R234" s="158"/>
      <c r="S234" s="158"/>
      <c r="T234" s="158"/>
      <c r="U234" s="158"/>
      <c r="V234" s="158"/>
      <c r="W234" s="158"/>
      <c r="X234" s="158"/>
      <c r="Y234" s="158"/>
      <c r="Z234" s="158"/>
      <c r="AA234" s="158"/>
      <c r="AB234" s="158"/>
      <c r="AC234" s="158"/>
      <c r="AD234" s="158"/>
      <c r="AE234" s="158"/>
    </row>
    <row r="235" spans="1:31" s="14" customFormat="1" outlineLevel="2" x14ac:dyDescent="0.25">
      <c r="A235" s="25" t="s">
        <v>2130</v>
      </c>
      <c r="B235" s="63" t="s">
        <v>444</v>
      </c>
      <c r="C235" s="107" t="s">
        <v>6</v>
      </c>
      <c r="D235" s="118">
        <f t="shared" si="52"/>
        <v>1862.5</v>
      </c>
      <c r="E235" s="118">
        <f t="shared" si="53"/>
        <v>372.5</v>
      </c>
      <c r="F235" s="118">
        <f t="shared" si="54"/>
        <v>2235</v>
      </c>
      <c r="G235" s="118">
        <v>2062</v>
      </c>
      <c r="H235" s="304">
        <f t="shared" si="55"/>
        <v>2235.2080000000001</v>
      </c>
      <c r="I235" s="304">
        <f t="shared" si="56"/>
        <v>2235</v>
      </c>
      <c r="J235" s="158"/>
      <c r="K235" s="158"/>
      <c r="L235" s="158"/>
      <c r="M235" s="158"/>
      <c r="N235" s="158"/>
      <c r="O235" s="158"/>
      <c r="P235" s="158"/>
      <c r="Q235" s="158"/>
      <c r="R235" s="158"/>
      <c r="S235" s="158"/>
      <c r="T235" s="158"/>
      <c r="U235" s="158"/>
      <c r="V235" s="158"/>
      <c r="W235" s="158"/>
      <c r="X235" s="158"/>
      <c r="Y235" s="158"/>
      <c r="Z235" s="158"/>
      <c r="AA235" s="158"/>
      <c r="AB235" s="158"/>
      <c r="AC235" s="158"/>
      <c r="AD235" s="158"/>
      <c r="AE235" s="158"/>
    </row>
    <row r="236" spans="1:31" s="14" customFormat="1" outlineLevel="2" x14ac:dyDescent="0.25">
      <c r="A236" s="25" t="s">
        <v>2131</v>
      </c>
      <c r="B236" s="63" t="s">
        <v>1700</v>
      </c>
      <c r="C236" s="107" t="s">
        <v>6</v>
      </c>
      <c r="D236" s="118">
        <f t="shared" si="52"/>
        <v>185</v>
      </c>
      <c r="E236" s="118">
        <f t="shared" si="53"/>
        <v>37</v>
      </c>
      <c r="F236" s="118">
        <f t="shared" si="54"/>
        <v>222</v>
      </c>
      <c r="G236" s="118">
        <v>205</v>
      </c>
      <c r="H236" s="304">
        <f t="shared" si="55"/>
        <v>222.22000000000003</v>
      </c>
      <c r="I236" s="304">
        <f t="shared" si="56"/>
        <v>222</v>
      </c>
      <c r="J236" s="158"/>
      <c r="K236" s="158"/>
      <c r="L236" s="158"/>
      <c r="M236" s="158"/>
      <c r="N236" s="158"/>
      <c r="O236" s="158"/>
      <c r="P236" s="158"/>
      <c r="Q236" s="158"/>
      <c r="R236" s="158"/>
      <c r="S236" s="158"/>
      <c r="T236" s="158"/>
      <c r="U236" s="158"/>
      <c r="V236" s="158"/>
      <c r="W236" s="158"/>
      <c r="X236" s="158"/>
      <c r="Y236" s="158"/>
      <c r="Z236" s="158"/>
      <c r="AA236" s="158"/>
      <c r="AB236" s="158"/>
      <c r="AC236" s="158"/>
      <c r="AD236" s="158"/>
      <c r="AE236" s="158"/>
    </row>
    <row r="237" spans="1:31" s="14" customFormat="1" outlineLevel="2" x14ac:dyDescent="0.25">
      <c r="A237" s="25" t="s">
        <v>2132</v>
      </c>
      <c r="B237" s="63" t="s">
        <v>445</v>
      </c>
      <c r="C237" s="107" t="s">
        <v>6</v>
      </c>
      <c r="D237" s="118">
        <f t="shared" si="52"/>
        <v>289.16666666666663</v>
      </c>
      <c r="E237" s="118">
        <f t="shared" si="53"/>
        <v>57.833333333333343</v>
      </c>
      <c r="F237" s="118">
        <f t="shared" si="54"/>
        <v>347</v>
      </c>
      <c r="G237" s="118">
        <v>320</v>
      </c>
      <c r="H237" s="304">
        <f t="shared" si="55"/>
        <v>346.88</v>
      </c>
      <c r="I237" s="304">
        <f t="shared" si="56"/>
        <v>347</v>
      </c>
      <c r="J237" s="158"/>
      <c r="K237" s="158"/>
      <c r="L237" s="158"/>
      <c r="M237" s="158"/>
      <c r="N237" s="158"/>
      <c r="O237" s="158"/>
      <c r="P237" s="158"/>
      <c r="Q237" s="158"/>
      <c r="R237" s="158"/>
      <c r="S237" s="158"/>
      <c r="T237" s="158"/>
      <c r="U237" s="158"/>
      <c r="V237" s="158"/>
      <c r="W237" s="158"/>
      <c r="X237" s="158"/>
      <c r="Y237" s="158"/>
      <c r="Z237" s="158"/>
      <c r="AA237" s="158"/>
      <c r="AB237" s="158"/>
      <c r="AC237" s="158"/>
      <c r="AD237" s="158"/>
      <c r="AE237" s="158"/>
    </row>
    <row r="238" spans="1:31" s="14" customFormat="1" outlineLevel="2" x14ac:dyDescent="0.25">
      <c r="A238" s="25" t="s">
        <v>2133</v>
      </c>
      <c r="B238" s="63" t="s">
        <v>446</v>
      </c>
      <c r="C238" s="107" t="s">
        <v>6</v>
      </c>
      <c r="D238" s="118">
        <f t="shared" si="52"/>
        <v>289.16666666666663</v>
      </c>
      <c r="E238" s="118">
        <f t="shared" si="53"/>
        <v>57.833333333333343</v>
      </c>
      <c r="F238" s="118">
        <f t="shared" si="54"/>
        <v>347</v>
      </c>
      <c r="G238" s="118">
        <v>320</v>
      </c>
      <c r="H238" s="304">
        <f t="shared" si="55"/>
        <v>346.88</v>
      </c>
      <c r="I238" s="304">
        <f t="shared" si="56"/>
        <v>347</v>
      </c>
      <c r="J238" s="158"/>
      <c r="K238" s="158"/>
      <c r="L238" s="158"/>
      <c r="M238" s="158"/>
      <c r="N238" s="158"/>
      <c r="O238" s="158"/>
      <c r="P238" s="158"/>
      <c r="Q238" s="158"/>
      <c r="R238" s="158"/>
      <c r="S238" s="158"/>
      <c r="T238" s="158"/>
      <c r="U238" s="158"/>
      <c r="V238" s="158"/>
      <c r="W238" s="158"/>
      <c r="X238" s="158"/>
      <c r="Y238" s="158"/>
      <c r="Z238" s="158"/>
      <c r="AA238" s="158"/>
      <c r="AB238" s="158"/>
      <c r="AC238" s="158"/>
      <c r="AD238" s="158"/>
      <c r="AE238" s="158"/>
    </row>
    <row r="239" spans="1:31" s="14" customFormat="1" outlineLevel="2" x14ac:dyDescent="0.25">
      <c r="A239" s="25" t="s">
        <v>2134</v>
      </c>
      <c r="B239" s="63" t="s">
        <v>475</v>
      </c>
      <c r="C239" s="107" t="s">
        <v>6</v>
      </c>
      <c r="D239" s="118">
        <f t="shared" si="52"/>
        <v>231.66666666666666</v>
      </c>
      <c r="E239" s="118">
        <f t="shared" si="53"/>
        <v>46.333333333333343</v>
      </c>
      <c r="F239" s="118">
        <f t="shared" si="54"/>
        <v>278</v>
      </c>
      <c r="G239" s="118">
        <v>256</v>
      </c>
      <c r="H239" s="304">
        <f t="shared" si="55"/>
        <v>277.50400000000002</v>
      </c>
      <c r="I239" s="304">
        <f t="shared" si="56"/>
        <v>278</v>
      </c>
      <c r="J239" s="158"/>
      <c r="K239" s="158"/>
      <c r="L239" s="158"/>
      <c r="M239" s="158"/>
      <c r="N239" s="158"/>
      <c r="O239" s="158"/>
      <c r="P239" s="158"/>
      <c r="Q239" s="158"/>
      <c r="R239" s="158"/>
      <c r="S239" s="158"/>
      <c r="T239" s="158"/>
      <c r="U239" s="158"/>
      <c r="V239" s="158"/>
      <c r="W239" s="158"/>
      <c r="X239" s="158"/>
      <c r="Y239" s="158"/>
      <c r="Z239" s="158"/>
      <c r="AA239" s="158"/>
      <c r="AB239" s="158"/>
      <c r="AC239" s="158"/>
      <c r="AD239" s="158"/>
      <c r="AE239" s="158"/>
    </row>
    <row r="240" spans="1:31" s="14" customFormat="1" outlineLevel="2" x14ac:dyDescent="0.25">
      <c r="A240" s="25" t="s">
        <v>2135</v>
      </c>
      <c r="B240" s="63" t="s">
        <v>474</v>
      </c>
      <c r="C240" s="107" t="s">
        <v>6</v>
      </c>
      <c r="D240" s="118">
        <f t="shared" si="52"/>
        <v>579.16666666666663</v>
      </c>
      <c r="E240" s="118">
        <f t="shared" si="53"/>
        <v>115.83333333333336</v>
      </c>
      <c r="F240" s="118">
        <f t="shared" si="54"/>
        <v>695</v>
      </c>
      <c r="G240" s="118">
        <v>641</v>
      </c>
      <c r="H240" s="304">
        <f t="shared" si="55"/>
        <v>694.84400000000005</v>
      </c>
      <c r="I240" s="304">
        <f t="shared" si="56"/>
        <v>695</v>
      </c>
      <c r="J240" s="158"/>
      <c r="K240" s="158"/>
      <c r="L240" s="158"/>
      <c r="M240" s="158"/>
      <c r="N240" s="158"/>
      <c r="O240" s="158"/>
      <c r="P240" s="158"/>
      <c r="Q240" s="158"/>
      <c r="R240" s="158"/>
      <c r="S240" s="158"/>
      <c r="T240" s="158"/>
      <c r="U240" s="158"/>
      <c r="V240" s="158"/>
      <c r="W240" s="158"/>
      <c r="X240" s="158"/>
      <c r="Y240" s="158"/>
      <c r="Z240" s="158"/>
      <c r="AA240" s="158"/>
      <c r="AB240" s="158"/>
      <c r="AC240" s="158"/>
      <c r="AD240" s="158"/>
      <c r="AE240" s="158"/>
    </row>
    <row r="241" spans="1:31" s="14" customFormat="1" outlineLevel="2" x14ac:dyDescent="0.25">
      <c r="A241" s="25" t="s">
        <v>2136</v>
      </c>
      <c r="B241" s="63" t="s">
        <v>3628</v>
      </c>
      <c r="C241" s="366" t="s">
        <v>549</v>
      </c>
      <c r="D241" s="118">
        <f t="shared" si="52"/>
        <v>2379.1666666666665</v>
      </c>
      <c r="E241" s="118">
        <f t="shared" si="53"/>
        <v>475.83333333333343</v>
      </c>
      <c r="F241" s="118">
        <v>2855</v>
      </c>
      <c r="G241" s="130"/>
      <c r="H241" s="304"/>
      <c r="I241" s="304"/>
      <c r="J241" s="158"/>
      <c r="K241" s="158"/>
      <c r="L241" s="158"/>
      <c r="M241" s="158"/>
      <c r="N241" s="158"/>
      <c r="O241" s="158"/>
      <c r="P241" s="158"/>
      <c r="Q241" s="158"/>
      <c r="R241" s="158"/>
      <c r="S241" s="158"/>
      <c r="T241" s="158"/>
      <c r="U241" s="158"/>
      <c r="V241" s="158"/>
      <c r="W241" s="158"/>
      <c r="X241" s="158"/>
      <c r="Y241" s="158"/>
      <c r="Z241" s="158"/>
      <c r="AA241" s="158"/>
      <c r="AB241" s="158"/>
      <c r="AC241" s="158"/>
      <c r="AD241" s="158"/>
      <c r="AE241" s="158"/>
    </row>
    <row r="242" spans="1:31" s="14" customFormat="1" ht="31.5" outlineLevel="2" x14ac:dyDescent="0.25">
      <c r="A242" s="25" t="s">
        <v>3626</v>
      </c>
      <c r="B242" s="63" t="s">
        <v>3629</v>
      </c>
      <c r="C242" s="366" t="s">
        <v>549</v>
      </c>
      <c r="D242" s="118">
        <f t="shared" si="52"/>
        <v>2604.1666666666665</v>
      </c>
      <c r="E242" s="118">
        <f t="shared" si="53"/>
        <v>520.83333333333337</v>
      </c>
      <c r="F242" s="118">
        <v>3125</v>
      </c>
      <c r="G242" s="130"/>
      <c r="H242" s="304"/>
      <c r="I242" s="304"/>
      <c r="J242" s="158"/>
      <c r="K242" s="158"/>
      <c r="L242" s="158"/>
      <c r="M242" s="158"/>
      <c r="N242" s="158"/>
      <c r="O242" s="158"/>
      <c r="P242" s="158"/>
      <c r="Q242" s="158"/>
      <c r="R242" s="158"/>
      <c r="S242" s="158"/>
      <c r="T242" s="158"/>
      <c r="U242" s="158"/>
      <c r="V242" s="158"/>
      <c r="W242" s="158"/>
      <c r="X242" s="158"/>
      <c r="Y242" s="158"/>
      <c r="Z242" s="158"/>
      <c r="AA242" s="158"/>
      <c r="AB242" s="158"/>
      <c r="AC242" s="158"/>
      <c r="AD242" s="158"/>
      <c r="AE242" s="158"/>
    </row>
    <row r="243" spans="1:31" s="14" customFormat="1" ht="31.5" outlineLevel="2" x14ac:dyDescent="0.25">
      <c r="A243" s="25" t="s">
        <v>3627</v>
      </c>
      <c r="B243" s="63" t="s">
        <v>3630</v>
      </c>
      <c r="C243" s="366" t="s">
        <v>549</v>
      </c>
      <c r="D243" s="118">
        <f t="shared" si="52"/>
        <v>2604.1666666666665</v>
      </c>
      <c r="E243" s="118">
        <f t="shared" si="53"/>
        <v>520.83333333333337</v>
      </c>
      <c r="F243" s="118">
        <v>3125</v>
      </c>
      <c r="G243" s="130"/>
      <c r="H243" s="304"/>
      <c r="I243" s="304"/>
      <c r="J243" s="158"/>
      <c r="K243" s="158"/>
      <c r="L243" s="158"/>
      <c r="M243" s="158"/>
      <c r="N243" s="158"/>
      <c r="O243" s="158"/>
      <c r="P243" s="158"/>
      <c r="Q243" s="158"/>
      <c r="R243" s="158"/>
      <c r="S243" s="158"/>
      <c r="T243" s="158"/>
      <c r="U243" s="158"/>
      <c r="V243" s="158"/>
      <c r="W243" s="158"/>
      <c r="X243" s="158"/>
      <c r="Y243" s="158"/>
      <c r="Z243" s="158"/>
      <c r="AA243" s="158"/>
      <c r="AB243" s="158"/>
      <c r="AC243" s="158"/>
      <c r="AD243" s="158"/>
      <c r="AE243" s="158"/>
    </row>
    <row r="244" spans="1:31" s="14" customFormat="1" ht="18.75" outlineLevel="1" x14ac:dyDescent="0.25">
      <c r="A244" s="404" t="s">
        <v>2114</v>
      </c>
      <c r="B244" s="405"/>
      <c r="C244" s="405"/>
      <c r="D244" s="405"/>
      <c r="E244" s="405"/>
      <c r="F244" s="405"/>
      <c r="G244" s="406"/>
      <c r="H244" s="308"/>
      <c r="I244" s="308"/>
      <c r="J244" s="158"/>
      <c r="K244" s="158"/>
      <c r="L244" s="158"/>
      <c r="M244" s="158"/>
      <c r="N244" s="158"/>
      <c r="O244" s="158"/>
      <c r="P244" s="158"/>
      <c r="Q244" s="158"/>
      <c r="R244" s="158"/>
      <c r="S244" s="158"/>
      <c r="T244" s="158"/>
      <c r="U244" s="158"/>
      <c r="V244" s="158"/>
      <c r="W244" s="158"/>
      <c r="X244" s="158"/>
      <c r="Y244" s="158"/>
      <c r="Z244" s="158"/>
      <c r="AA244" s="158"/>
      <c r="AB244" s="158"/>
      <c r="AC244" s="158"/>
      <c r="AD244" s="158"/>
      <c r="AE244" s="158"/>
    </row>
    <row r="245" spans="1:31" s="14" customFormat="1" outlineLevel="2" x14ac:dyDescent="0.25">
      <c r="A245" s="109" t="s">
        <v>2137</v>
      </c>
      <c r="B245" s="39" t="s">
        <v>143</v>
      </c>
      <c r="C245" s="107" t="s">
        <v>50</v>
      </c>
      <c r="D245" s="118">
        <f t="shared" ref="D245:D263" si="57">F245-E245</f>
        <v>127.5</v>
      </c>
      <c r="E245" s="118">
        <f t="shared" ref="E245:E263" si="58">F245/1.2*0.2</f>
        <v>25.5</v>
      </c>
      <c r="F245" s="118">
        <f t="shared" ref="F245:F256" si="59">I245</f>
        <v>153</v>
      </c>
      <c r="G245" s="118">
        <v>141</v>
      </c>
      <c r="H245" s="304">
        <f t="shared" ref="H245:H256" si="60">G245*$H$8</f>
        <v>152.84400000000002</v>
      </c>
      <c r="I245" s="304">
        <f t="shared" ref="I245:I256" si="61">ROUND(H245,0)</f>
        <v>153</v>
      </c>
      <c r="J245" s="158"/>
      <c r="K245" s="158"/>
      <c r="L245" s="158"/>
      <c r="M245" s="158"/>
      <c r="N245" s="158"/>
      <c r="O245" s="158"/>
      <c r="P245" s="158"/>
      <c r="Q245" s="158"/>
      <c r="R245" s="158"/>
      <c r="S245" s="158"/>
      <c r="T245" s="158"/>
      <c r="U245" s="158"/>
      <c r="V245" s="158"/>
      <c r="W245" s="158"/>
      <c r="X245" s="158"/>
      <c r="Y245" s="158"/>
      <c r="Z245" s="158"/>
      <c r="AA245" s="158"/>
      <c r="AB245" s="158"/>
      <c r="AC245" s="158"/>
      <c r="AD245" s="158"/>
      <c r="AE245" s="158"/>
    </row>
    <row r="246" spans="1:31" s="14" customFormat="1" outlineLevel="2" x14ac:dyDescent="0.25">
      <c r="A246" s="25" t="s">
        <v>2138</v>
      </c>
      <c r="B246" s="26" t="s">
        <v>144</v>
      </c>
      <c r="C246" s="107" t="s">
        <v>50</v>
      </c>
      <c r="D246" s="118">
        <f t="shared" si="57"/>
        <v>127.5</v>
      </c>
      <c r="E246" s="118">
        <f t="shared" si="58"/>
        <v>25.5</v>
      </c>
      <c r="F246" s="118">
        <f t="shared" si="59"/>
        <v>153</v>
      </c>
      <c r="G246" s="118">
        <v>141</v>
      </c>
      <c r="H246" s="304">
        <f t="shared" si="60"/>
        <v>152.84400000000002</v>
      </c>
      <c r="I246" s="304">
        <f t="shared" si="61"/>
        <v>153</v>
      </c>
      <c r="J246" s="158"/>
      <c r="K246" s="158"/>
      <c r="L246" s="158"/>
      <c r="M246" s="158"/>
      <c r="N246" s="158"/>
      <c r="O246" s="158"/>
      <c r="P246" s="158"/>
      <c r="Q246" s="158"/>
      <c r="R246" s="158"/>
      <c r="S246" s="158"/>
      <c r="T246" s="158"/>
      <c r="U246" s="158"/>
      <c r="V246" s="158"/>
      <c r="W246" s="158"/>
      <c r="X246" s="158"/>
      <c r="Y246" s="158"/>
      <c r="Z246" s="158"/>
      <c r="AA246" s="158"/>
      <c r="AB246" s="158"/>
      <c r="AC246" s="158"/>
      <c r="AD246" s="158"/>
      <c r="AE246" s="158"/>
    </row>
    <row r="247" spans="1:31" s="14" customFormat="1" outlineLevel="2" x14ac:dyDescent="0.25">
      <c r="A247" s="209" t="s">
        <v>2139</v>
      </c>
      <c r="B247" s="26" t="s">
        <v>145</v>
      </c>
      <c r="C247" s="107" t="s">
        <v>50</v>
      </c>
      <c r="D247" s="118">
        <f t="shared" si="57"/>
        <v>178.33333333333331</v>
      </c>
      <c r="E247" s="118">
        <f t="shared" si="58"/>
        <v>35.666666666666671</v>
      </c>
      <c r="F247" s="118">
        <f t="shared" si="59"/>
        <v>214</v>
      </c>
      <c r="G247" s="118">
        <v>197</v>
      </c>
      <c r="H247" s="304">
        <f t="shared" si="60"/>
        <v>213.548</v>
      </c>
      <c r="I247" s="304">
        <f t="shared" si="61"/>
        <v>214</v>
      </c>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row>
    <row r="248" spans="1:31" s="14" customFormat="1" outlineLevel="2" x14ac:dyDescent="0.25">
      <c r="A248" s="25" t="s">
        <v>2140</v>
      </c>
      <c r="B248" s="26" t="s">
        <v>146</v>
      </c>
      <c r="C248" s="107" t="s">
        <v>50</v>
      </c>
      <c r="D248" s="118">
        <f t="shared" si="57"/>
        <v>127.5</v>
      </c>
      <c r="E248" s="118">
        <f t="shared" si="58"/>
        <v>25.5</v>
      </c>
      <c r="F248" s="118">
        <f t="shared" si="59"/>
        <v>153</v>
      </c>
      <c r="G248" s="118">
        <v>141</v>
      </c>
      <c r="H248" s="304">
        <f t="shared" si="60"/>
        <v>152.84400000000002</v>
      </c>
      <c r="I248" s="304">
        <f t="shared" si="61"/>
        <v>153</v>
      </c>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row>
    <row r="249" spans="1:31" s="14" customFormat="1" outlineLevel="2" x14ac:dyDescent="0.25">
      <c r="A249" s="209" t="s">
        <v>2141</v>
      </c>
      <c r="B249" s="26" t="s">
        <v>147</v>
      </c>
      <c r="C249" s="107" t="s">
        <v>50</v>
      </c>
      <c r="D249" s="118">
        <f t="shared" si="57"/>
        <v>127.5</v>
      </c>
      <c r="E249" s="118">
        <f t="shared" si="58"/>
        <v>25.5</v>
      </c>
      <c r="F249" s="118">
        <f t="shared" si="59"/>
        <v>153</v>
      </c>
      <c r="G249" s="118">
        <v>141</v>
      </c>
      <c r="H249" s="304">
        <f t="shared" si="60"/>
        <v>152.84400000000002</v>
      </c>
      <c r="I249" s="304">
        <f t="shared" si="61"/>
        <v>153</v>
      </c>
      <c r="J249" s="158"/>
      <c r="K249" s="158"/>
      <c r="L249" s="158"/>
      <c r="M249" s="158"/>
      <c r="N249" s="158"/>
      <c r="O249" s="158"/>
      <c r="P249" s="158"/>
      <c r="Q249" s="158"/>
      <c r="R249" s="158"/>
      <c r="S249" s="158"/>
      <c r="T249" s="158"/>
      <c r="U249" s="158"/>
      <c r="V249" s="158"/>
      <c r="W249" s="158"/>
      <c r="X249" s="158"/>
      <c r="Y249" s="158"/>
      <c r="Z249" s="158"/>
      <c r="AA249" s="158"/>
      <c r="AB249" s="158"/>
      <c r="AC249" s="158"/>
      <c r="AD249" s="158"/>
      <c r="AE249" s="158"/>
    </row>
    <row r="250" spans="1:31" s="14" customFormat="1" outlineLevel="2" x14ac:dyDescent="0.25">
      <c r="A250" s="25" t="s">
        <v>2142</v>
      </c>
      <c r="B250" s="26" t="s">
        <v>70</v>
      </c>
      <c r="C250" s="107" t="s">
        <v>50</v>
      </c>
      <c r="D250" s="118">
        <f t="shared" si="57"/>
        <v>212.5</v>
      </c>
      <c r="E250" s="118">
        <f t="shared" si="58"/>
        <v>42.5</v>
      </c>
      <c r="F250" s="118">
        <f t="shared" si="59"/>
        <v>255</v>
      </c>
      <c r="G250" s="118">
        <v>235</v>
      </c>
      <c r="H250" s="304">
        <f t="shared" si="60"/>
        <v>254.74</v>
      </c>
      <c r="I250" s="304">
        <f t="shared" si="61"/>
        <v>255</v>
      </c>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row>
    <row r="251" spans="1:31" s="14" customFormat="1" outlineLevel="2" x14ac:dyDescent="0.25">
      <c r="A251" s="209" t="s">
        <v>2143</v>
      </c>
      <c r="B251" s="26" t="s">
        <v>71</v>
      </c>
      <c r="C251" s="107" t="s">
        <v>50</v>
      </c>
      <c r="D251" s="118">
        <f t="shared" si="57"/>
        <v>212.5</v>
      </c>
      <c r="E251" s="118">
        <f t="shared" si="58"/>
        <v>42.5</v>
      </c>
      <c r="F251" s="118">
        <f t="shared" si="59"/>
        <v>255</v>
      </c>
      <c r="G251" s="118">
        <v>235</v>
      </c>
      <c r="H251" s="304">
        <f t="shared" si="60"/>
        <v>254.74</v>
      </c>
      <c r="I251" s="304">
        <f t="shared" si="61"/>
        <v>255</v>
      </c>
      <c r="J251" s="158"/>
      <c r="K251" s="158"/>
      <c r="L251" s="158"/>
      <c r="M251" s="158"/>
      <c r="N251" s="158"/>
      <c r="O251" s="158"/>
      <c r="P251" s="158"/>
      <c r="Q251" s="158"/>
      <c r="R251" s="158"/>
      <c r="S251" s="158"/>
      <c r="T251" s="158"/>
      <c r="U251" s="158"/>
      <c r="V251" s="158"/>
      <c r="W251" s="158"/>
      <c r="X251" s="158"/>
      <c r="Y251" s="158"/>
      <c r="Z251" s="158"/>
      <c r="AA251" s="158"/>
      <c r="AB251" s="158"/>
      <c r="AC251" s="158"/>
      <c r="AD251" s="158"/>
      <c r="AE251" s="158"/>
    </row>
    <row r="252" spans="1:31" s="14" customFormat="1" outlineLevel="2" x14ac:dyDescent="0.25">
      <c r="A252" s="25" t="s">
        <v>2144</v>
      </c>
      <c r="B252" s="26" t="s">
        <v>248</v>
      </c>
      <c r="C252" s="107" t="s">
        <v>50</v>
      </c>
      <c r="D252" s="118">
        <f t="shared" si="57"/>
        <v>212.5</v>
      </c>
      <c r="E252" s="118">
        <f t="shared" si="58"/>
        <v>42.5</v>
      </c>
      <c r="F252" s="118">
        <f t="shared" si="59"/>
        <v>255</v>
      </c>
      <c r="G252" s="118">
        <v>235</v>
      </c>
      <c r="H252" s="304">
        <f t="shared" si="60"/>
        <v>254.74</v>
      </c>
      <c r="I252" s="304">
        <f t="shared" si="61"/>
        <v>255</v>
      </c>
      <c r="J252" s="158"/>
      <c r="K252" s="158"/>
      <c r="L252" s="158"/>
      <c r="M252" s="158"/>
      <c r="N252" s="158"/>
      <c r="O252" s="158"/>
      <c r="P252" s="158"/>
      <c r="Q252" s="158"/>
      <c r="R252" s="158"/>
      <c r="S252" s="158"/>
      <c r="T252" s="158"/>
      <c r="U252" s="158"/>
      <c r="V252" s="158"/>
      <c r="W252" s="158"/>
      <c r="X252" s="158"/>
      <c r="Y252" s="158"/>
      <c r="Z252" s="158"/>
      <c r="AA252" s="158"/>
      <c r="AB252" s="158"/>
      <c r="AC252" s="158"/>
      <c r="AD252" s="158"/>
      <c r="AE252" s="158"/>
    </row>
    <row r="253" spans="1:31" s="14" customFormat="1" outlineLevel="2" x14ac:dyDescent="0.25">
      <c r="A253" s="209" t="s">
        <v>2145</v>
      </c>
      <c r="B253" s="26" t="s">
        <v>250</v>
      </c>
      <c r="C253" s="107" t="s">
        <v>50</v>
      </c>
      <c r="D253" s="118">
        <f t="shared" si="57"/>
        <v>159.16666666666666</v>
      </c>
      <c r="E253" s="118">
        <f t="shared" si="58"/>
        <v>31.833333333333339</v>
      </c>
      <c r="F253" s="118">
        <f t="shared" si="59"/>
        <v>191</v>
      </c>
      <c r="G253" s="118">
        <v>176</v>
      </c>
      <c r="H253" s="304">
        <f t="shared" si="60"/>
        <v>190.78400000000002</v>
      </c>
      <c r="I253" s="304">
        <f t="shared" si="61"/>
        <v>191</v>
      </c>
      <c r="J253" s="158"/>
      <c r="K253" s="158"/>
      <c r="L253" s="158"/>
      <c r="M253" s="158"/>
      <c r="N253" s="158"/>
      <c r="O253" s="158"/>
      <c r="P253" s="158"/>
      <c r="Q253" s="158"/>
      <c r="R253" s="158"/>
      <c r="S253" s="158"/>
      <c r="T253" s="158"/>
      <c r="U253" s="158"/>
      <c r="V253" s="158"/>
      <c r="W253" s="158"/>
      <c r="X253" s="158"/>
      <c r="Y253" s="158"/>
      <c r="Z253" s="158"/>
      <c r="AA253" s="158"/>
      <c r="AB253" s="158"/>
      <c r="AC253" s="158"/>
      <c r="AD253" s="158"/>
      <c r="AE253" s="158"/>
    </row>
    <row r="254" spans="1:31" s="14" customFormat="1" outlineLevel="2" x14ac:dyDescent="0.25">
      <c r="A254" s="25" t="s">
        <v>2146</v>
      </c>
      <c r="B254" s="26" t="s">
        <v>249</v>
      </c>
      <c r="C254" s="107" t="s">
        <v>50</v>
      </c>
      <c r="D254" s="118">
        <f t="shared" si="57"/>
        <v>265</v>
      </c>
      <c r="E254" s="118">
        <f t="shared" si="58"/>
        <v>53</v>
      </c>
      <c r="F254" s="118">
        <f t="shared" si="59"/>
        <v>318</v>
      </c>
      <c r="G254" s="118">
        <v>293</v>
      </c>
      <c r="H254" s="304">
        <f t="shared" si="60"/>
        <v>317.61200000000002</v>
      </c>
      <c r="I254" s="304">
        <f t="shared" si="61"/>
        <v>318</v>
      </c>
      <c r="J254" s="158"/>
      <c r="K254" s="158"/>
      <c r="L254" s="158"/>
      <c r="M254" s="158"/>
      <c r="N254" s="158"/>
      <c r="O254" s="158"/>
      <c r="P254" s="158"/>
      <c r="Q254" s="158"/>
      <c r="R254" s="158"/>
      <c r="S254" s="158"/>
      <c r="T254" s="158"/>
      <c r="U254" s="158"/>
      <c r="V254" s="158"/>
      <c r="W254" s="158"/>
      <c r="X254" s="158"/>
      <c r="Y254" s="158"/>
      <c r="Z254" s="158"/>
      <c r="AA254" s="158"/>
      <c r="AB254" s="158"/>
      <c r="AC254" s="158"/>
      <c r="AD254" s="158"/>
      <c r="AE254" s="158"/>
    </row>
    <row r="255" spans="1:31" outlineLevel="2" x14ac:dyDescent="0.25">
      <c r="A255" s="209" t="s">
        <v>2147</v>
      </c>
      <c r="B255" s="24" t="s">
        <v>251</v>
      </c>
      <c r="C255" s="107" t="s">
        <v>50</v>
      </c>
      <c r="D255" s="118">
        <f t="shared" si="57"/>
        <v>212.5</v>
      </c>
      <c r="E255" s="118">
        <f t="shared" si="58"/>
        <v>42.5</v>
      </c>
      <c r="F255" s="118">
        <f t="shared" si="59"/>
        <v>255</v>
      </c>
      <c r="G255" s="118">
        <v>235</v>
      </c>
      <c r="H255" s="304">
        <f t="shared" si="60"/>
        <v>254.74</v>
      </c>
      <c r="I255" s="304">
        <f t="shared" si="61"/>
        <v>255</v>
      </c>
    </row>
    <row r="256" spans="1:31" outlineLevel="2" x14ac:dyDescent="0.25">
      <c r="A256" s="25" t="s">
        <v>2148</v>
      </c>
      <c r="B256" s="38" t="s">
        <v>276</v>
      </c>
      <c r="C256" s="339" t="s">
        <v>50</v>
      </c>
      <c r="D256" s="131">
        <f t="shared" si="57"/>
        <v>159.16666666666666</v>
      </c>
      <c r="E256" s="131">
        <f t="shared" si="58"/>
        <v>31.833333333333339</v>
      </c>
      <c r="F256" s="131">
        <f t="shared" si="59"/>
        <v>191</v>
      </c>
      <c r="G256" s="118">
        <v>176</v>
      </c>
      <c r="H256" s="304">
        <f t="shared" si="60"/>
        <v>190.78400000000002</v>
      </c>
      <c r="I256" s="304">
        <f t="shared" si="61"/>
        <v>191</v>
      </c>
    </row>
    <row r="257" spans="1:31" outlineLevel="2" x14ac:dyDescent="0.25">
      <c r="A257" s="270" t="s">
        <v>3560</v>
      </c>
      <c r="B257" s="38" t="s">
        <v>3558</v>
      </c>
      <c r="C257" s="251" t="s">
        <v>6</v>
      </c>
      <c r="D257" s="131">
        <f t="shared" si="57"/>
        <v>266.66666666666663</v>
      </c>
      <c r="E257" s="131">
        <f t="shared" si="58"/>
        <v>53.333333333333343</v>
      </c>
      <c r="F257" s="131">
        <v>320</v>
      </c>
      <c r="G257" s="130"/>
      <c r="H257" s="304"/>
      <c r="I257" s="304"/>
    </row>
    <row r="258" spans="1:31" outlineLevel="2" x14ac:dyDescent="0.25">
      <c r="A258" s="270" t="s">
        <v>3561</v>
      </c>
      <c r="B258" s="38" t="s">
        <v>3559</v>
      </c>
      <c r="C258" s="251" t="s">
        <v>6</v>
      </c>
      <c r="D258" s="131">
        <f t="shared" si="57"/>
        <v>283.33333333333331</v>
      </c>
      <c r="E258" s="131">
        <f t="shared" si="58"/>
        <v>56.666666666666679</v>
      </c>
      <c r="F258" s="131">
        <v>340</v>
      </c>
      <c r="G258" s="130"/>
      <c r="H258" s="304"/>
      <c r="I258" s="304"/>
    </row>
    <row r="259" spans="1:31" outlineLevel="2" x14ac:dyDescent="0.25">
      <c r="A259" s="270" t="s">
        <v>3562</v>
      </c>
      <c r="B259" s="38" t="s">
        <v>3565</v>
      </c>
      <c r="C259" s="251" t="s">
        <v>6</v>
      </c>
      <c r="D259" s="131">
        <f t="shared" si="57"/>
        <v>316.66666666666663</v>
      </c>
      <c r="E259" s="131">
        <f t="shared" si="58"/>
        <v>63.333333333333343</v>
      </c>
      <c r="F259" s="131">
        <v>380</v>
      </c>
      <c r="G259" s="130"/>
      <c r="H259" s="304"/>
      <c r="I259" s="304"/>
    </row>
    <row r="260" spans="1:31" outlineLevel="2" x14ac:dyDescent="0.25">
      <c r="A260" s="270" t="s">
        <v>3563</v>
      </c>
      <c r="B260" s="38" t="s">
        <v>3566</v>
      </c>
      <c r="C260" s="251" t="s">
        <v>6</v>
      </c>
      <c r="D260" s="131">
        <f t="shared" si="57"/>
        <v>366.66666666666663</v>
      </c>
      <c r="E260" s="131">
        <f t="shared" si="58"/>
        <v>73.333333333333343</v>
      </c>
      <c r="F260" s="131">
        <v>440</v>
      </c>
      <c r="G260" s="130"/>
      <c r="H260" s="304"/>
      <c r="I260" s="304"/>
    </row>
    <row r="261" spans="1:31" ht="31.5" outlineLevel="2" x14ac:dyDescent="0.25">
      <c r="A261" s="270" t="s">
        <v>3564</v>
      </c>
      <c r="B261" s="24" t="s">
        <v>3567</v>
      </c>
      <c r="C261" s="251" t="s">
        <v>6</v>
      </c>
      <c r="D261" s="118">
        <f t="shared" si="57"/>
        <v>2700</v>
      </c>
      <c r="E261" s="118">
        <f t="shared" si="58"/>
        <v>540</v>
      </c>
      <c r="F261" s="118">
        <v>3240</v>
      </c>
      <c r="G261" s="130"/>
      <c r="H261" s="304"/>
      <c r="I261" s="304"/>
    </row>
    <row r="262" spans="1:31" outlineLevel="2" x14ac:dyDescent="0.25">
      <c r="A262" s="270" t="s">
        <v>3574</v>
      </c>
      <c r="B262" s="24" t="s">
        <v>3576</v>
      </c>
      <c r="C262" s="251" t="s">
        <v>50</v>
      </c>
      <c r="D262" s="118">
        <f t="shared" si="57"/>
        <v>414.16666666666663</v>
      </c>
      <c r="E262" s="118">
        <f t="shared" si="58"/>
        <v>82.833333333333343</v>
      </c>
      <c r="F262" s="118">
        <v>497</v>
      </c>
      <c r="G262" s="130"/>
      <c r="H262" s="304"/>
      <c r="I262" s="304"/>
    </row>
    <row r="263" spans="1:31" ht="47.25" customHeight="1" outlineLevel="2" x14ac:dyDescent="0.25">
      <c r="A263" s="270" t="s">
        <v>3575</v>
      </c>
      <c r="B263" s="24" t="s">
        <v>3577</v>
      </c>
      <c r="C263" s="251" t="s">
        <v>6</v>
      </c>
      <c r="D263" s="118">
        <f t="shared" si="57"/>
        <v>6775</v>
      </c>
      <c r="E263" s="118">
        <f t="shared" si="58"/>
        <v>1355</v>
      </c>
      <c r="F263" s="118">
        <v>8130</v>
      </c>
      <c r="G263" s="130"/>
      <c r="H263" s="304"/>
      <c r="I263" s="304"/>
    </row>
    <row r="264" spans="1:31" ht="18.75" outlineLevel="1" x14ac:dyDescent="0.25">
      <c r="A264" s="407" t="s">
        <v>2115</v>
      </c>
      <c r="B264" s="408"/>
      <c r="C264" s="408"/>
      <c r="D264" s="408"/>
      <c r="E264" s="408"/>
      <c r="F264" s="408"/>
      <c r="G264" s="409"/>
      <c r="H264" s="309"/>
      <c r="I264" s="309"/>
    </row>
    <row r="265" spans="1:31" s="6" customFormat="1" outlineLevel="2" x14ac:dyDescent="0.25">
      <c r="A265" s="109" t="s">
        <v>2149</v>
      </c>
      <c r="B265" s="39" t="s">
        <v>79</v>
      </c>
      <c r="C265" s="107" t="s">
        <v>6</v>
      </c>
      <c r="D265" s="118">
        <f t="shared" ref="D265:D274" si="62">F265-E265</f>
        <v>118.33333333333333</v>
      </c>
      <c r="E265" s="118">
        <f t="shared" ref="E265:E274" si="63">F265/1.2*0.2</f>
        <v>23.666666666666671</v>
      </c>
      <c r="F265" s="118">
        <f t="shared" ref="F265:F274" si="64">I265</f>
        <v>142</v>
      </c>
      <c r="G265" s="118">
        <v>131</v>
      </c>
      <c r="H265" s="304">
        <f t="shared" ref="H265:H274" si="65">G265*$H$8</f>
        <v>142.00400000000002</v>
      </c>
      <c r="I265" s="304">
        <f t="shared" ref="I265:I274" si="66">ROUND(H265,0)</f>
        <v>142</v>
      </c>
      <c r="J265" s="158"/>
      <c r="K265" s="158"/>
      <c r="L265" s="158"/>
      <c r="M265" s="158"/>
      <c r="N265" s="158"/>
      <c r="O265" s="158"/>
      <c r="P265" s="158"/>
      <c r="Q265" s="158"/>
      <c r="R265" s="158"/>
      <c r="S265" s="158"/>
      <c r="T265" s="158"/>
      <c r="U265" s="158"/>
      <c r="V265" s="158"/>
      <c r="W265" s="158"/>
      <c r="X265" s="158"/>
      <c r="Y265" s="158"/>
      <c r="Z265" s="158"/>
      <c r="AA265" s="158"/>
      <c r="AB265" s="158"/>
      <c r="AC265" s="158"/>
      <c r="AD265" s="158"/>
      <c r="AE265" s="158"/>
    </row>
    <row r="266" spans="1:31" outlineLevel="2" x14ac:dyDescent="0.25">
      <c r="A266" s="25" t="s">
        <v>2150</v>
      </c>
      <c r="B266" s="26" t="s">
        <v>77</v>
      </c>
      <c r="C266" s="107" t="s">
        <v>6</v>
      </c>
      <c r="D266" s="118">
        <f t="shared" si="62"/>
        <v>187.5</v>
      </c>
      <c r="E266" s="118">
        <f t="shared" si="63"/>
        <v>37.5</v>
      </c>
      <c r="F266" s="118">
        <f t="shared" si="64"/>
        <v>225</v>
      </c>
      <c r="G266" s="118">
        <v>208</v>
      </c>
      <c r="H266" s="304">
        <f t="shared" si="65"/>
        <v>225.47200000000001</v>
      </c>
      <c r="I266" s="304">
        <f t="shared" si="66"/>
        <v>225</v>
      </c>
    </row>
    <row r="267" spans="1:31" outlineLevel="2" x14ac:dyDescent="0.25">
      <c r="A267" s="209" t="s">
        <v>2151</v>
      </c>
      <c r="B267" s="26" t="s">
        <v>75</v>
      </c>
      <c r="C267" s="107" t="s">
        <v>6</v>
      </c>
      <c r="D267" s="118">
        <f t="shared" si="62"/>
        <v>195</v>
      </c>
      <c r="E267" s="118">
        <f t="shared" si="63"/>
        <v>39</v>
      </c>
      <c r="F267" s="118">
        <f t="shared" si="64"/>
        <v>234</v>
      </c>
      <c r="G267" s="118">
        <v>216</v>
      </c>
      <c r="H267" s="304">
        <f t="shared" si="65"/>
        <v>234.14400000000001</v>
      </c>
      <c r="I267" s="304">
        <f t="shared" si="66"/>
        <v>234</v>
      </c>
    </row>
    <row r="268" spans="1:31" outlineLevel="2" x14ac:dyDescent="0.25">
      <c r="A268" s="25" t="s">
        <v>2152</v>
      </c>
      <c r="B268" s="26" t="s">
        <v>80</v>
      </c>
      <c r="C268" s="107" t="s">
        <v>6</v>
      </c>
      <c r="D268" s="118">
        <f t="shared" si="62"/>
        <v>195</v>
      </c>
      <c r="E268" s="118">
        <f t="shared" si="63"/>
        <v>39</v>
      </c>
      <c r="F268" s="118">
        <f t="shared" si="64"/>
        <v>234</v>
      </c>
      <c r="G268" s="118">
        <v>216</v>
      </c>
      <c r="H268" s="304">
        <f t="shared" si="65"/>
        <v>234.14400000000001</v>
      </c>
      <c r="I268" s="304">
        <f t="shared" si="66"/>
        <v>234</v>
      </c>
    </row>
    <row r="269" spans="1:31" outlineLevel="2" x14ac:dyDescent="0.25">
      <c r="A269" s="209" t="s">
        <v>2153</v>
      </c>
      <c r="B269" s="26" t="s">
        <v>230</v>
      </c>
      <c r="C269" s="107" t="s">
        <v>6</v>
      </c>
      <c r="D269" s="118">
        <f t="shared" si="62"/>
        <v>189.16666666666666</v>
      </c>
      <c r="E269" s="118">
        <f t="shared" si="63"/>
        <v>37.833333333333336</v>
      </c>
      <c r="F269" s="118">
        <f t="shared" si="64"/>
        <v>227</v>
      </c>
      <c r="G269" s="118">
        <v>209</v>
      </c>
      <c r="H269" s="304">
        <f t="shared" si="65"/>
        <v>226.55600000000001</v>
      </c>
      <c r="I269" s="304">
        <f t="shared" si="66"/>
        <v>227</v>
      </c>
    </row>
    <row r="270" spans="1:31" outlineLevel="2" x14ac:dyDescent="0.25">
      <c r="A270" s="25" t="s">
        <v>2154</v>
      </c>
      <c r="B270" s="26" t="s">
        <v>81</v>
      </c>
      <c r="C270" s="107" t="s">
        <v>6</v>
      </c>
      <c r="D270" s="118">
        <f t="shared" si="62"/>
        <v>148.33333333333331</v>
      </c>
      <c r="E270" s="118">
        <f t="shared" si="63"/>
        <v>29.666666666666671</v>
      </c>
      <c r="F270" s="118">
        <f t="shared" si="64"/>
        <v>178</v>
      </c>
      <c r="G270" s="118">
        <v>164</v>
      </c>
      <c r="H270" s="304">
        <f t="shared" si="65"/>
        <v>177.77600000000001</v>
      </c>
      <c r="I270" s="304">
        <f t="shared" si="66"/>
        <v>178</v>
      </c>
    </row>
    <row r="271" spans="1:31" outlineLevel="2" x14ac:dyDescent="0.25">
      <c r="A271" s="209" t="s">
        <v>2155</v>
      </c>
      <c r="B271" s="26" t="s">
        <v>72</v>
      </c>
      <c r="C271" s="107" t="s">
        <v>6</v>
      </c>
      <c r="D271" s="118">
        <f t="shared" si="62"/>
        <v>187.5</v>
      </c>
      <c r="E271" s="118">
        <f t="shared" si="63"/>
        <v>37.5</v>
      </c>
      <c r="F271" s="118">
        <f t="shared" si="64"/>
        <v>225</v>
      </c>
      <c r="G271" s="118">
        <v>208</v>
      </c>
      <c r="H271" s="304">
        <f t="shared" si="65"/>
        <v>225.47200000000001</v>
      </c>
      <c r="I271" s="304">
        <f t="shared" si="66"/>
        <v>225</v>
      </c>
    </row>
    <row r="272" spans="1:31" outlineLevel="2" x14ac:dyDescent="0.25">
      <c r="A272" s="25" t="s">
        <v>2156</v>
      </c>
      <c r="B272" s="26" t="s">
        <v>212</v>
      </c>
      <c r="C272" s="107" t="s">
        <v>6</v>
      </c>
      <c r="D272" s="118">
        <f t="shared" si="62"/>
        <v>149.16666666666666</v>
      </c>
      <c r="E272" s="118">
        <f t="shared" si="63"/>
        <v>29.833333333333339</v>
      </c>
      <c r="F272" s="118">
        <f t="shared" si="64"/>
        <v>179</v>
      </c>
      <c r="G272" s="118">
        <v>165</v>
      </c>
      <c r="H272" s="304">
        <f t="shared" si="65"/>
        <v>178.86</v>
      </c>
      <c r="I272" s="304">
        <f t="shared" si="66"/>
        <v>179</v>
      </c>
    </row>
    <row r="273" spans="1:9" outlineLevel="2" x14ac:dyDescent="0.25">
      <c r="A273" s="209" t="s">
        <v>2157</v>
      </c>
      <c r="B273" s="26" t="s">
        <v>82</v>
      </c>
      <c r="C273" s="107" t="s">
        <v>6</v>
      </c>
      <c r="D273" s="118">
        <f t="shared" si="62"/>
        <v>202.5</v>
      </c>
      <c r="E273" s="118">
        <f t="shared" si="63"/>
        <v>40.5</v>
      </c>
      <c r="F273" s="118">
        <f t="shared" si="64"/>
        <v>243</v>
      </c>
      <c r="G273" s="118">
        <v>224</v>
      </c>
      <c r="H273" s="304">
        <f t="shared" si="65"/>
        <v>242.81600000000003</v>
      </c>
      <c r="I273" s="304">
        <f t="shared" si="66"/>
        <v>243</v>
      </c>
    </row>
    <row r="274" spans="1:9" outlineLevel="2" x14ac:dyDescent="0.25">
      <c r="A274" s="25" t="s">
        <v>2158</v>
      </c>
      <c r="B274" s="26" t="s">
        <v>83</v>
      </c>
      <c r="C274" s="107" t="s">
        <v>6</v>
      </c>
      <c r="D274" s="118">
        <f t="shared" si="62"/>
        <v>149.16666666666666</v>
      </c>
      <c r="E274" s="118">
        <f t="shared" si="63"/>
        <v>29.833333333333339</v>
      </c>
      <c r="F274" s="118">
        <f t="shared" si="64"/>
        <v>179</v>
      </c>
      <c r="G274" s="118">
        <v>165</v>
      </c>
      <c r="H274" s="304">
        <f t="shared" si="65"/>
        <v>178.86</v>
      </c>
      <c r="I274" s="304">
        <f t="shared" si="66"/>
        <v>179</v>
      </c>
    </row>
    <row r="275" spans="1:9" ht="18.75" x14ac:dyDescent="0.25">
      <c r="A275" s="410" t="s">
        <v>2110</v>
      </c>
      <c r="B275" s="411"/>
      <c r="C275" s="411"/>
      <c r="D275" s="411"/>
      <c r="E275" s="411"/>
      <c r="F275" s="411"/>
      <c r="G275" s="412"/>
      <c r="H275" s="310"/>
      <c r="I275" s="310"/>
    </row>
    <row r="276" spans="1:9" outlineLevel="1" x14ac:dyDescent="0.25">
      <c r="A276" s="25" t="s">
        <v>148</v>
      </c>
      <c r="B276" s="62" t="s">
        <v>419</v>
      </c>
      <c r="C276" s="107" t="s">
        <v>6</v>
      </c>
      <c r="D276" s="118">
        <f t="shared" ref="D276:D291" si="67">F276-E276</f>
        <v>2411.6666666666665</v>
      </c>
      <c r="E276" s="118">
        <f t="shared" ref="E276:E291" si="68">F276/1.2*0.2</f>
        <v>482.33333333333343</v>
      </c>
      <c r="F276" s="118">
        <f t="shared" ref="F276:F291" si="69">I276</f>
        <v>2894</v>
      </c>
      <c r="G276" s="130">
        <v>2670</v>
      </c>
      <c r="H276" s="304">
        <f t="shared" ref="H276:H291" si="70">G276*$H$8</f>
        <v>2894.28</v>
      </c>
      <c r="I276" s="304">
        <f t="shared" ref="I276:I291" si="71">ROUND(H276,0)</f>
        <v>2894</v>
      </c>
    </row>
    <row r="277" spans="1:9" outlineLevel="1" x14ac:dyDescent="0.25">
      <c r="A277" s="25" t="s">
        <v>150</v>
      </c>
      <c r="B277" s="62" t="s">
        <v>420</v>
      </c>
      <c r="C277" s="107" t="s">
        <v>6</v>
      </c>
      <c r="D277" s="118">
        <f t="shared" si="67"/>
        <v>3129.1666666666665</v>
      </c>
      <c r="E277" s="118">
        <f t="shared" si="68"/>
        <v>625.83333333333348</v>
      </c>
      <c r="F277" s="118">
        <f t="shared" si="69"/>
        <v>3755</v>
      </c>
      <c r="G277" s="130">
        <v>3464</v>
      </c>
      <c r="H277" s="304">
        <f t="shared" si="70"/>
        <v>3754.9760000000001</v>
      </c>
      <c r="I277" s="304">
        <f t="shared" si="71"/>
        <v>3755</v>
      </c>
    </row>
    <row r="278" spans="1:9" ht="31.5" outlineLevel="1" x14ac:dyDescent="0.25">
      <c r="A278" s="25" t="s">
        <v>234</v>
      </c>
      <c r="B278" s="62" t="s">
        <v>421</v>
      </c>
      <c r="C278" s="107" t="s">
        <v>6</v>
      </c>
      <c r="D278" s="118">
        <f t="shared" si="67"/>
        <v>340</v>
      </c>
      <c r="E278" s="118">
        <f t="shared" si="68"/>
        <v>68</v>
      </c>
      <c r="F278" s="118">
        <f t="shared" si="69"/>
        <v>408</v>
      </c>
      <c r="G278" s="130">
        <v>376</v>
      </c>
      <c r="H278" s="304">
        <f t="shared" si="70"/>
        <v>407.584</v>
      </c>
      <c r="I278" s="304">
        <f t="shared" si="71"/>
        <v>408</v>
      </c>
    </row>
    <row r="279" spans="1:9" outlineLevel="1" x14ac:dyDescent="0.25">
      <c r="A279" s="25" t="s">
        <v>299</v>
      </c>
      <c r="B279" s="62" t="s">
        <v>422</v>
      </c>
      <c r="C279" s="107" t="s">
        <v>6</v>
      </c>
      <c r="D279" s="118">
        <f t="shared" si="67"/>
        <v>517.5</v>
      </c>
      <c r="E279" s="118">
        <f t="shared" si="68"/>
        <v>103.5</v>
      </c>
      <c r="F279" s="118">
        <f t="shared" si="69"/>
        <v>621</v>
      </c>
      <c r="G279" s="130">
        <v>573</v>
      </c>
      <c r="H279" s="304">
        <f t="shared" si="70"/>
        <v>621.13200000000006</v>
      </c>
      <c r="I279" s="304">
        <f t="shared" si="71"/>
        <v>621</v>
      </c>
    </row>
    <row r="280" spans="1:9" ht="31.5" outlineLevel="1" x14ac:dyDescent="0.25">
      <c r="A280" s="25" t="s">
        <v>300</v>
      </c>
      <c r="B280" s="62" t="s">
        <v>423</v>
      </c>
      <c r="C280" s="107" t="s">
        <v>6</v>
      </c>
      <c r="D280" s="118">
        <f t="shared" si="67"/>
        <v>465</v>
      </c>
      <c r="E280" s="118">
        <f t="shared" si="68"/>
        <v>93</v>
      </c>
      <c r="F280" s="118">
        <f t="shared" si="69"/>
        <v>558</v>
      </c>
      <c r="G280" s="130">
        <v>515</v>
      </c>
      <c r="H280" s="304">
        <f t="shared" si="70"/>
        <v>558.26</v>
      </c>
      <c r="I280" s="304">
        <f t="shared" si="71"/>
        <v>558</v>
      </c>
    </row>
    <row r="281" spans="1:9" outlineLevel="1" x14ac:dyDescent="0.25">
      <c r="A281" s="25" t="s">
        <v>301</v>
      </c>
      <c r="B281" s="62" t="s">
        <v>426</v>
      </c>
      <c r="C281" s="107" t="s">
        <v>6</v>
      </c>
      <c r="D281" s="118">
        <f t="shared" si="67"/>
        <v>103.33333333333333</v>
      </c>
      <c r="E281" s="118">
        <f t="shared" si="68"/>
        <v>20.666666666666671</v>
      </c>
      <c r="F281" s="118">
        <f t="shared" si="69"/>
        <v>124</v>
      </c>
      <c r="G281" s="130">
        <v>114</v>
      </c>
      <c r="H281" s="304">
        <f t="shared" si="70"/>
        <v>123.57600000000001</v>
      </c>
      <c r="I281" s="304">
        <f t="shared" si="71"/>
        <v>124</v>
      </c>
    </row>
    <row r="282" spans="1:9" outlineLevel="1" x14ac:dyDescent="0.25">
      <c r="A282" s="25" t="s">
        <v>302</v>
      </c>
      <c r="B282" s="62" t="s">
        <v>427</v>
      </c>
      <c r="C282" s="107" t="s">
        <v>6</v>
      </c>
      <c r="D282" s="118">
        <f t="shared" si="67"/>
        <v>57.5</v>
      </c>
      <c r="E282" s="118">
        <f t="shared" si="68"/>
        <v>11.5</v>
      </c>
      <c r="F282" s="118">
        <f t="shared" si="69"/>
        <v>69</v>
      </c>
      <c r="G282" s="130">
        <v>64</v>
      </c>
      <c r="H282" s="304">
        <f t="shared" si="70"/>
        <v>69.376000000000005</v>
      </c>
      <c r="I282" s="304">
        <f t="shared" si="71"/>
        <v>69</v>
      </c>
    </row>
    <row r="283" spans="1:9" outlineLevel="1" x14ac:dyDescent="0.25">
      <c r="A283" s="25" t="s">
        <v>424</v>
      </c>
      <c r="B283" s="62" t="s">
        <v>428</v>
      </c>
      <c r="C283" s="107" t="s">
        <v>6</v>
      </c>
      <c r="D283" s="118">
        <f t="shared" si="67"/>
        <v>57.5</v>
      </c>
      <c r="E283" s="118">
        <f t="shared" si="68"/>
        <v>11.5</v>
      </c>
      <c r="F283" s="118">
        <f t="shared" si="69"/>
        <v>69</v>
      </c>
      <c r="G283" s="130">
        <v>64</v>
      </c>
      <c r="H283" s="304">
        <f t="shared" si="70"/>
        <v>69.376000000000005</v>
      </c>
      <c r="I283" s="304">
        <f t="shared" si="71"/>
        <v>69</v>
      </c>
    </row>
    <row r="284" spans="1:9" outlineLevel="1" x14ac:dyDescent="0.25">
      <c r="A284" s="25" t="s">
        <v>425</v>
      </c>
      <c r="B284" s="62" t="s">
        <v>429</v>
      </c>
      <c r="C284" s="107" t="s">
        <v>6</v>
      </c>
      <c r="D284" s="118">
        <f t="shared" si="67"/>
        <v>280.83333333333331</v>
      </c>
      <c r="E284" s="118">
        <f t="shared" si="68"/>
        <v>56.166666666666679</v>
      </c>
      <c r="F284" s="118">
        <f t="shared" si="69"/>
        <v>337</v>
      </c>
      <c r="G284" s="130">
        <v>311</v>
      </c>
      <c r="H284" s="304">
        <f t="shared" si="70"/>
        <v>337.12400000000002</v>
      </c>
      <c r="I284" s="304">
        <f t="shared" si="71"/>
        <v>337</v>
      </c>
    </row>
    <row r="285" spans="1:9" outlineLevel="1" x14ac:dyDescent="0.25">
      <c r="A285" s="25" t="s">
        <v>450</v>
      </c>
      <c r="B285" s="26" t="s">
        <v>449</v>
      </c>
      <c r="C285" s="107" t="s">
        <v>6</v>
      </c>
      <c r="D285" s="118">
        <f t="shared" si="67"/>
        <v>8201.6666666666661</v>
      </c>
      <c r="E285" s="118">
        <f t="shared" si="68"/>
        <v>1640.3333333333337</v>
      </c>
      <c r="F285" s="118">
        <f t="shared" si="69"/>
        <v>9842</v>
      </c>
      <c r="G285" s="130">
        <v>9079</v>
      </c>
      <c r="H285" s="304">
        <f t="shared" si="70"/>
        <v>9841.6360000000004</v>
      </c>
      <c r="I285" s="304">
        <f t="shared" si="71"/>
        <v>9842</v>
      </c>
    </row>
    <row r="286" spans="1:9" outlineLevel="1" x14ac:dyDescent="0.25">
      <c r="A286" s="25" t="s">
        <v>1437</v>
      </c>
      <c r="B286" s="26" t="s">
        <v>1443</v>
      </c>
      <c r="C286" s="133" t="s">
        <v>6</v>
      </c>
      <c r="D286" s="118">
        <f t="shared" si="67"/>
        <v>586.66666666666663</v>
      </c>
      <c r="E286" s="118">
        <f t="shared" si="68"/>
        <v>117.33333333333336</v>
      </c>
      <c r="F286" s="118">
        <f t="shared" si="69"/>
        <v>704</v>
      </c>
      <c r="G286" s="118">
        <v>649</v>
      </c>
      <c r="H286" s="304">
        <f t="shared" si="70"/>
        <v>703.51600000000008</v>
      </c>
      <c r="I286" s="304">
        <f t="shared" si="71"/>
        <v>704</v>
      </c>
    </row>
    <row r="287" spans="1:9" outlineLevel="1" x14ac:dyDescent="0.25">
      <c r="A287" s="25" t="s">
        <v>1438</v>
      </c>
      <c r="B287" s="26" t="s">
        <v>1444</v>
      </c>
      <c r="C287" s="133" t="s">
        <v>6</v>
      </c>
      <c r="D287" s="118">
        <f t="shared" si="67"/>
        <v>429.16666666666663</v>
      </c>
      <c r="E287" s="118">
        <f t="shared" si="68"/>
        <v>85.833333333333343</v>
      </c>
      <c r="F287" s="118">
        <f t="shared" si="69"/>
        <v>515</v>
      </c>
      <c r="G287" s="118">
        <v>475</v>
      </c>
      <c r="H287" s="304">
        <f t="shared" si="70"/>
        <v>514.90000000000009</v>
      </c>
      <c r="I287" s="304">
        <f t="shared" si="71"/>
        <v>515</v>
      </c>
    </row>
    <row r="288" spans="1:9" outlineLevel="1" x14ac:dyDescent="0.25">
      <c r="A288" s="25" t="s">
        <v>1439</v>
      </c>
      <c r="B288" s="26" t="s">
        <v>1445</v>
      </c>
      <c r="C288" s="133" t="s">
        <v>6</v>
      </c>
      <c r="D288" s="118">
        <f t="shared" si="67"/>
        <v>588.33333333333326</v>
      </c>
      <c r="E288" s="118">
        <f t="shared" si="68"/>
        <v>117.66666666666669</v>
      </c>
      <c r="F288" s="118">
        <f t="shared" si="69"/>
        <v>706</v>
      </c>
      <c r="G288" s="118">
        <v>651</v>
      </c>
      <c r="H288" s="304">
        <f t="shared" si="70"/>
        <v>705.68400000000008</v>
      </c>
      <c r="I288" s="304">
        <f t="shared" si="71"/>
        <v>706</v>
      </c>
    </row>
    <row r="289" spans="1:31" ht="31.5" outlineLevel="1" x14ac:dyDescent="0.25">
      <c r="A289" s="25" t="s">
        <v>1440</v>
      </c>
      <c r="B289" s="26" t="s">
        <v>1446</v>
      </c>
      <c r="C289" s="133" t="s">
        <v>6</v>
      </c>
      <c r="D289" s="118">
        <f t="shared" si="67"/>
        <v>941.66666666666663</v>
      </c>
      <c r="E289" s="118">
        <f t="shared" si="68"/>
        <v>188.33333333333337</v>
      </c>
      <c r="F289" s="118">
        <f t="shared" si="69"/>
        <v>1130</v>
      </c>
      <c r="G289" s="118">
        <v>1042</v>
      </c>
      <c r="H289" s="304">
        <f t="shared" si="70"/>
        <v>1129.528</v>
      </c>
      <c r="I289" s="304">
        <f t="shared" si="71"/>
        <v>1130</v>
      </c>
    </row>
    <row r="290" spans="1:31" outlineLevel="1" x14ac:dyDescent="0.25">
      <c r="A290" s="25" t="s">
        <v>1441</v>
      </c>
      <c r="B290" s="26" t="s">
        <v>1447</v>
      </c>
      <c r="C290" s="133" t="s">
        <v>6</v>
      </c>
      <c r="D290" s="118">
        <f t="shared" si="67"/>
        <v>337.5</v>
      </c>
      <c r="E290" s="118">
        <f t="shared" si="68"/>
        <v>67.5</v>
      </c>
      <c r="F290" s="118">
        <f t="shared" si="69"/>
        <v>405</v>
      </c>
      <c r="G290" s="118">
        <v>374</v>
      </c>
      <c r="H290" s="304">
        <f t="shared" si="70"/>
        <v>405.41600000000005</v>
      </c>
      <c r="I290" s="304">
        <f t="shared" si="71"/>
        <v>405</v>
      </c>
    </row>
    <row r="291" spans="1:31" outlineLevel="1" x14ac:dyDescent="0.25">
      <c r="A291" s="25" t="s">
        <v>1442</v>
      </c>
      <c r="B291" s="26" t="s">
        <v>1448</v>
      </c>
      <c r="C291" s="133" t="s">
        <v>6</v>
      </c>
      <c r="D291" s="118">
        <f t="shared" si="67"/>
        <v>71.666666666666657</v>
      </c>
      <c r="E291" s="118">
        <f t="shared" si="68"/>
        <v>14.333333333333336</v>
      </c>
      <c r="F291" s="118">
        <f t="shared" si="69"/>
        <v>86</v>
      </c>
      <c r="G291" s="118">
        <v>79</v>
      </c>
      <c r="H291" s="304">
        <f t="shared" si="70"/>
        <v>85.63600000000001</v>
      </c>
      <c r="I291" s="304">
        <f t="shared" si="71"/>
        <v>86</v>
      </c>
    </row>
    <row r="292" spans="1:31" ht="18.75" x14ac:dyDescent="0.25">
      <c r="A292" s="392" t="s">
        <v>2111</v>
      </c>
      <c r="B292" s="393"/>
      <c r="C292" s="393"/>
      <c r="D292" s="393"/>
      <c r="E292" s="393"/>
      <c r="F292" s="393"/>
      <c r="G292" s="394"/>
      <c r="H292" s="307"/>
      <c r="I292" s="307"/>
    </row>
    <row r="293" spans="1:31" s="15" customFormat="1" outlineLevel="1" x14ac:dyDescent="0.25">
      <c r="A293" s="41" t="s">
        <v>277</v>
      </c>
      <c r="B293" s="42" t="s">
        <v>292</v>
      </c>
      <c r="C293" s="43" t="s">
        <v>487</v>
      </c>
      <c r="D293" s="118">
        <f t="shared" ref="D293:D299" si="72">F293-E293</f>
        <v>289.16666666666663</v>
      </c>
      <c r="E293" s="118">
        <f t="shared" ref="E293:E299" si="73">F293/1.2*0.2</f>
        <v>57.833333333333343</v>
      </c>
      <c r="F293" s="118">
        <f t="shared" ref="F293:F299" si="74">I293</f>
        <v>347</v>
      </c>
      <c r="G293" s="132">
        <v>320</v>
      </c>
      <c r="H293" s="304">
        <f t="shared" ref="H293:H299" si="75">G293*$H$8</f>
        <v>346.88</v>
      </c>
      <c r="I293" s="304">
        <f t="shared" ref="I293:I299" si="76">ROUND(H293,0)</f>
        <v>347</v>
      </c>
      <c r="J293" s="158"/>
      <c r="K293" s="158"/>
      <c r="L293" s="158"/>
      <c r="M293" s="158"/>
      <c r="N293" s="158"/>
      <c r="O293" s="158"/>
      <c r="P293" s="158"/>
      <c r="Q293" s="158"/>
      <c r="R293" s="158"/>
      <c r="S293" s="158"/>
      <c r="T293" s="158"/>
      <c r="U293" s="158"/>
      <c r="V293" s="158"/>
      <c r="W293" s="158"/>
      <c r="X293" s="158"/>
      <c r="Y293" s="158"/>
      <c r="Z293" s="158"/>
      <c r="AA293" s="158"/>
      <c r="AB293" s="158"/>
      <c r="AC293" s="158"/>
      <c r="AD293" s="158"/>
      <c r="AE293" s="158"/>
    </row>
    <row r="294" spans="1:31" s="15" customFormat="1" outlineLevel="1" x14ac:dyDescent="0.25">
      <c r="A294" s="41" t="s">
        <v>278</v>
      </c>
      <c r="B294" s="29" t="s">
        <v>297</v>
      </c>
      <c r="C294" s="43" t="s">
        <v>487</v>
      </c>
      <c r="D294" s="118">
        <f t="shared" si="72"/>
        <v>482.5</v>
      </c>
      <c r="E294" s="118">
        <f t="shared" si="73"/>
        <v>96.5</v>
      </c>
      <c r="F294" s="118">
        <f t="shared" si="74"/>
        <v>579</v>
      </c>
      <c r="G294" s="132">
        <v>534</v>
      </c>
      <c r="H294" s="304">
        <f t="shared" si="75"/>
        <v>578.85599999999999</v>
      </c>
      <c r="I294" s="304">
        <f t="shared" si="76"/>
        <v>579</v>
      </c>
      <c r="J294" s="158"/>
      <c r="K294" s="158"/>
      <c r="L294" s="158"/>
      <c r="M294" s="158"/>
      <c r="N294" s="158"/>
      <c r="O294" s="158"/>
      <c r="P294" s="158"/>
      <c r="Q294" s="158"/>
      <c r="R294" s="158"/>
      <c r="S294" s="158"/>
      <c r="T294" s="158"/>
      <c r="U294" s="158"/>
      <c r="V294" s="158"/>
      <c r="W294" s="158"/>
      <c r="X294" s="158"/>
      <c r="Y294" s="158"/>
      <c r="Z294" s="158"/>
      <c r="AA294" s="158"/>
      <c r="AB294" s="158"/>
      <c r="AC294" s="158"/>
      <c r="AD294" s="158"/>
      <c r="AE294" s="158"/>
    </row>
    <row r="295" spans="1:31" outlineLevel="1" x14ac:dyDescent="0.25">
      <c r="A295" s="41" t="s">
        <v>279</v>
      </c>
      <c r="B295" s="29" t="s">
        <v>293</v>
      </c>
      <c r="C295" s="43" t="s">
        <v>487</v>
      </c>
      <c r="D295" s="118">
        <f t="shared" si="72"/>
        <v>242.5</v>
      </c>
      <c r="E295" s="118">
        <f t="shared" si="73"/>
        <v>48.5</v>
      </c>
      <c r="F295" s="118">
        <f t="shared" si="74"/>
        <v>291</v>
      </c>
      <c r="G295" s="118">
        <v>268</v>
      </c>
      <c r="H295" s="304">
        <f t="shared" si="75"/>
        <v>290.512</v>
      </c>
      <c r="I295" s="304">
        <f t="shared" si="76"/>
        <v>291</v>
      </c>
    </row>
    <row r="296" spans="1:31" outlineLevel="1" x14ac:dyDescent="0.25">
      <c r="A296" s="41" t="s">
        <v>355</v>
      </c>
      <c r="B296" s="29" t="s">
        <v>296</v>
      </c>
      <c r="C296" s="43" t="s">
        <v>487</v>
      </c>
      <c r="D296" s="118">
        <f t="shared" si="72"/>
        <v>482.5</v>
      </c>
      <c r="E296" s="118">
        <f t="shared" si="73"/>
        <v>96.5</v>
      </c>
      <c r="F296" s="118">
        <f t="shared" si="74"/>
        <v>579</v>
      </c>
      <c r="G296" s="118">
        <v>534</v>
      </c>
      <c r="H296" s="304">
        <f t="shared" si="75"/>
        <v>578.85599999999999</v>
      </c>
      <c r="I296" s="304">
        <f t="shared" si="76"/>
        <v>579</v>
      </c>
    </row>
    <row r="297" spans="1:31" outlineLevel="1" x14ac:dyDescent="0.25">
      <c r="A297" s="41" t="s">
        <v>356</v>
      </c>
      <c r="B297" s="29" t="s">
        <v>298</v>
      </c>
      <c r="C297" s="43" t="s">
        <v>487</v>
      </c>
      <c r="D297" s="118">
        <f t="shared" si="72"/>
        <v>482.5</v>
      </c>
      <c r="E297" s="118">
        <f t="shared" si="73"/>
        <v>96.5</v>
      </c>
      <c r="F297" s="118">
        <f t="shared" si="74"/>
        <v>579</v>
      </c>
      <c r="G297" s="118">
        <v>534</v>
      </c>
      <c r="H297" s="304">
        <f t="shared" si="75"/>
        <v>578.85599999999999</v>
      </c>
      <c r="I297" s="304">
        <f t="shared" si="76"/>
        <v>579</v>
      </c>
    </row>
    <row r="298" spans="1:31" outlineLevel="1" x14ac:dyDescent="0.25">
      <c r="A298" s="41" t="s">
        <v>357</v>
      </c>
      <c r="B298" s="29" t="s">
        <v>294</v>
      </c>
      <c r="C298" s="43" t="s">
        <v>487</v>
      </c>
      <c r="D298" s="118">
        <f t="shared" si="72"/>
        <v>145.83333333333331</v>
      </c>
      <c r="E298" s="118">
        <f t="shared" si="73"/>
        <v>29.166666666666671</v>
      </c>
      <c r="F298" s="118">
        <f t="shared" si="74"/>
        <v>175</v>
      </c>
      <c r="G298" s="118">
        <v>161</v>
      </c>
      <c r="H298" s="304">
        <f t="shared" si="75"/>
        <v>174.524</v>
      </c>
      <c r="I298" s="304">
        <f t="shared" si="76"/>
        <v>175</v>
      </c>
    </row>
    <row r="299" spans="1:31" outlineLevel="1" x14ac:dyDescent="0.25">
      <c r="A299" s="41" t="s">
        <v>358</v>
      </c>
      <c r="B299" s="29" t="s">
        <v>295</v>
      </c>
      <c r="C299" s="43" t="s">
        <v>487</v>
      </c>
      <c r="D299" s="118">
        <f t="shared" si="72"/>
        <v>145.83333333333331</v>
      </c>
      <c r="E299" s="118">
        <f t="shared" si="73"/>
        <v>29.166666666666671</v>
      </c>
      <c r="F299" s="118">
        <f t="shared" si="74"/>
        <v>175</v>
      </c>
      <c r="G299" s="118">
        <v>161</v>
      </c>
      <c r="H299" s="304">
        <f t="shared" si="75"/>
        <v>174.524</v>
      </c>
      <c r="I299" s="304">
        <f t="shared" si="76"/>
        <v>175</v>
      </c>
    </row>
    <row r="300" spans="1:31" ht="18.75" x14ac:dyDescent="0.25">
      <c r="A300" s="392" t="s">
        <v>1395</v>
      </c>
      <c r="B300" s="393"/>
      <c r="C300" s="393"/>
      <c r="D300" s="393"/>
      <c r="E300" s="393"/>
      <c r="F300" s="393"/>
      <c r="G300" s="394"/>
      <c r="H300" s="307"/>
      <c r="I300" s="307"/>
    </row>
    <row r="301" spans="1:31" s="22" customFormat="1" outlineLevel="1" x14ac:dyDescent="0.25">
      <c r="A301" s="41" t="s">
        <v>359</v>
      </c>
      <c r="B301" s="42" t="s">
        <v>245</v>
      </c>
      <c r="C301" s="43" t="s">
        <v>2668</v>
      </c>
      <c r="D301" s="118">
        <f t="shared" ref="D301:D307" si="77">F301-E301</f>
        <v>109.16666666666666</v>
      </c>
      <c r="E301" s="118">
        <f t="shared" ref="E301:E307" si="78">F301/1.2*0.2</f>
        <v>21.833333333333336</v>
      </c>
      <c r="F301" s="118">
        <f t="shared" ref="F301:F307" si="79">I301</f>
        <v>131</v>
      </c>
      <c r="G301" s="118">
        <v>121</v>
      </c>
      <c r="H301" s="304">
        <f t="shared" ref="H301:H307" si="80">G301*$H$8</f>
        <v>131.16400000000002</v>
      </c>
      <c r="I301" s="304">
        <f t="shared" ref="I301:I307" si="81">ROUND(H301,0)</f>
        <v>131</v>
      </c>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row>
    <row r="302" spans="1:31" s="22" customFormat="1" outlineLevel="1" x14ac:dyDescent="0.25">
      <c r="A302" s="41" t="s">
        <v>360</v>
      </c>
      <c r="B302" s="29" t="s">
        <v>304</v>
      </c>
      <c r="C302" s="43" t="s">
        <v>2668</v>
      </c>
      <c r="D302" s="118">
        <f t="shared" si="77"/>
        <v>145.83333333333331</v>
      </c>
      <c r="E302" s="118">
        <f t="shared" si="78"/>
        <v>29.166666666666671</v>
      </c>
      <c r="F302" s="118">
        <f t="shared" si="79"/>
        <v>175</v>
      </c>
      <c r="G302" s="118">
        <v>161</v>
      </c>
      <c r="H302" s="304">
        <f t="shared" si="80"/>
        <v>174.524</v>
      </c>
      <c r="I302" s="304">
        <f t="shared" si="81"/>
        <v>175</v>
      </c>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row>
    <row r="303" spans="1:31" s="22" customFormat="1" outlineLevel="1" x14ac:dyDescent="0.25">
      <c r="A303" s="41" t="s">
        <v>361</v>
      </c>
      <c r="B303" s="29" t="s">
        <v>303</v>
      </c>
      <c r="C303" s="43" t="s">
        <v>2668</v>
      </c>
      <c r="D303" s="118">
        <f t="shared" si="77"/>
        <v>212.5</v>
      </c>
      <c r="E303" s="118">
        <f t="shared" si="78"/>
        <v>42.5</v>
      </c>
      <c r="F303" s="118">
        <f t="shared" si="79"/>
        <v>255</v>
      </c>
      <c r="G303" s="118">
        <v>235</v>
      </c>
      <c r="H303" s="304">
        <f t="shared" si="80"/>
        <v>254.74</v>
      </c>
      <c r="I303" s="304">
        <f t="shared" si="81"/>
        <v>255</v>
      </c>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row>
    <row r="304" spans="1:31" s="22" customFormat="1" outlineLevel="1" x14ac:dyDescent="0.25">
      <c r="A304" s="41" t="s">
        <v>384</v>
      </c>
      <c r="B304" s="29" t="s">
        <v>305</v>
      </c>
      <c r="C304" s="43" t="s">
        <v>2668</v>
      </c>
      <c r="D304" s="118">
        <f t="shared" si="77"/>
        <v>286.66666666666663</v>
      </c>
      <c r="E304" s="118">
        <f t="shared" si="78"/>
        <v>57.333333333333343</v>
      </c>
      <c r="F304" s="118">
        <f t="shared" si="79"/>
        <v>344</v>
      </c>
      <c r="G304" s="118">
        <v>317</v>
      </c>
      <c r="H304" s="304">
        <f t="shared" si="80"/>
        <v>343.62800000000004</v>
      </c>
      <c r="I304" s="304">
        <f t="shared" si="81"/>
        <v>344</v>
      </c>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row>
    <row r="305" spans="1:31" s="22" customFormat="1" outlineLevel="1" x14ac:dyDescent="0.25">
      <c r="A305" s="41" t="s">
        <v>385</v>
      </c>
      <c r="B305" s="29" t="s">
        <v>306</v>
      </c>
      <c r="C305" s="43" t="s">
        <v>2668</v>
      </c>
      <c r="D305" s="118">
        <f t="shared" si="77"/>
        <v>355</v>
      </c>
      <c r="E305" s="118">
        <f t="shared" si="78"/>
        <v>71</v>
      </c>
      <c r="F305" s="118">
        <f t="shared" si="79"/>
        <v>426</v>
      </c>
      <c r="G305" s="118">
        <v>393</v>
      </c>
      <c r="H305" s="304">
        <f t="shared" si="80"/>
        <v>426.01200000000006</v>
      </c>
      <c r="I305" s="304">
        <f t="shared" si="81"/>
        <v>426</v>
      </c>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row>
    <row r="306" spans="1:31" s="22" customFormat="1" outlineLevel="1" x14ac:dyDescent="0.25">
      <c r="A306" s="41" t="s">
        <v>404</v>
      </c>
      <c r="B306" s="29" t="s">
        <v>2686</v>
      </c>
      <c r="C306" s="43" t="s">
        <v>2668</v>
      </c>
      <c r="D306" s="118">
        <f t="shared" si="77"/>
        <v>424.16666666666663</v>
      </c>
      <c r="E306" s="118">
        <f t="shared" si="78"/>
        <v>84.833333333333343</v>
      </c>
      <c r="F306" s="118">
        <f t="shared" si="79"/>
        <v>509</v>
      </c>
      <c r="G306" s="118">
        <v>470</v>
      </c>
      <c r="H306" s="304">
        <f t="shared" si="80"/>
        <v>509.48</v>
      </c>
      <c r="I306" s="304">
        <f t="shared" si="81"/>
        <v>509</v>
      </c>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row>
    <row r="307" spans="1:31" s="22" customFormat="1" outlineLevel="1" x14ac:dyDescent="0.25">
      <c r="A307" s="41" t="s">
        <v>430</v>
      </c>
      <c r="B307" s="29" t="s">
        <v>439</v>
      </c>
      <c r="C307" s="43" t="s">
        <v>2668</v>
      </c>
      <c r="D307" s="118">
        <f t="shared" si="77"/>
        <v>34.166666666666664</v>
      </c>
      <c r="E307" s="118">
        <f t="shared" si="78"/>
        <v>6.8333333333333348</v>
      </c>
      <c r="F307" s="118">
        <f t="shared" si="79"/>
        <v>41</v>
      </c>
      <c r="G307" s="118">
        <v>38</v>
      </c>
      <c r="H307" s="304">
        <f t="shared" si="80"/>
        <v>41.192</v>
      </c>
      <c r="I307" s="304">
        <f t="shared" si="81"/>
        <v>41</v>
      </c>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row>
    <row r="308" spans="1:31" s="22" customFormat="1" ht="18.75" x14ac:dyDescent="0.25">
      <c r="A308" s="401" t="s">
        <v>2112</v>
      </c>
      <c r="B308" s="402"/>
      <c r="C308" s="402"/>
      <c r="D308" s="402"/>
      <c r="E308" s="402"/>
      <c r="F308" s="402"/>
      <c r="G308" s="403"/>
      <c r="H308" s="311"/>
      <c r="I308" s="311"/>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row>
    <row r="309" spans="1:31" customFormat="1" outlineLevel="2" x14ac:dyDescent="0.25">
      <c r="A309" s="41" t="s">
        <v>431</v>
      </c>
      <c r="B309" s="29" t="s">
        <v>1494</v>
      </c>
      <c r="C309" s="111" t="s">
        <v>487</v>
      </c>
      <c r="D309" s="118">
        <f t="shared" ref="D309:D314" si="82">F309-E309</f>
        <v>140.83333333333331</v>
      </c>
      <c r="E309" s="118">
        <f t="shared" ref="E309:E314" si="83">F309/1.2*0.2</f>
        <v>28.166666666666671</v>
      </c>
      <c r="F309" s="118">
        <f t="shared" ref="F309:F314" si="84">I309</f>
        <v>169</v>
      </c>
      <c r="G309" s="118">
        <v>156</v>
      </c>
      <c r="H309" s="304">
        <f t="shared" ref="H309:H314" si="85">G309*$H$8</f>
        <v>169.10400000000001</v>
      </c>
      <c r="I309" s="304">
        <f t="shared" ref="I309:I314" si="86">ROUND(H309,0)</f>
        <v>169</v>
      </c>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row>
    <row r="310" spans="1:31" customFormat="1" outlineLevel="2" x14ac:dyDescent="0.25">
      <c r="A310" s="41" t="s">
        <v>432</v>
      </c>
      <c r="B310" s="29" t="s">
        <v>1403</v>
      </c>
      <c r="C310" s="111" t="s">
        <v>487</v>
      </c>
      <c r="D310" s="118">
        <f t="shared" si="82"/>
        <v>763.33333333333326</v>
      </c>
      <c r="E310" s="118">
        <f t="shared" si="83"/>
        <v>152.66666666666669</v>
      </c>
      <c r="F310" s="118">
        <f t="shared" si="84"/>
        <v>916</v>
      </c>
      <c r="G310" s="118">
        <v>845</v>
      </c>
      <c r="H310" s="304">
        <f t="shared" si="85"/>
        <v>915.98</v>
      </c>
      <c r="I310" s="304">
        <f t="shared" si="86"/>
        <v>916</v>
      </c>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row>
    <row r="311" spans="1:31" customFormat="1" outlineLevel="2" x14ac:dyDescent="0.25">
      <c r="A311" s="41" t="s">
        <v>1399</v>
      </c>
      <c r="B311" s="29" t="s">
        <v>1404</v>
      </c>
      <c r="C311" s="111" t="s">
        <v>487</v>
      </c>
      <c r="D311" s="118">
        <f t="shared" si="82"/>
        <v>1271.6666666666665</v>
      </c>
      <c r="E311" s="118">
        <f t="shared" si="83"/>
        <v>254.33333333333337</v>
      </c>
      <c r="F311" s="118">
        <f t="shared" si="84"/>
        <v>1526</v>
      </c>
      <c r="G311" s="118">
        <v>1408</v>
      </c>
      <c r="H311" s="304">
        <f t="shared" si="85"/>
        <v>1526.2720000000002</v>
      </c>
      <c r="I311" s="304">
        <f t="shared" si="86"/>
        <v>1526</v>
      </c>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row>
    <row r="312" spans="1:31" customFormat="1" outlineLevel="2" x14ac:dyDescent="0.25">
      <c r="A312" s="41" t="s">
        <v>1400</v>
      </c>
      <c r="B312" s="29" t="s">
        <v>1405</v>
      </c>
      <c r="C312" s="111" t="s">
        <v>487</v>
      </c>
      <c r="D312" s="118">
        <f t="shared" si="82"/>
        <v>2260</v>
      </c>
      <c r="E312" s="118">
        <f t="shared" si="83"/>
        <v>452</v>
      </c>
      <c r="F312" s="118">
        <f t="shared" si="84"/>
        <v>2712</v>
      </c>
      <c r="G312" s="118">
        <v>2502</v>
      </c>
      <c r="H312" s="304">
        <f t="shared" si="85"/>
        <v>2712.1680000000001</v>
      </c>
      <c r="I312" s="304">
        <f t="shared" si="86"/>
        <v>2712</v>
      </c>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row>
    <row r="313" spans="1:31" customFormat="1" outlineLevel="2" x14ac:dyDescent="0.25">
      <c r="A313" s="41" t="s">
        <v>1401</v>
      </c>
      <c r="B313" s="29" t="s">
        <v>1406</v>
      </c>
      <c r="C313" s="111" t="s">
        <v>487</v>
      </c>
      <c r="D313" s="118">
        <f t="shared" si="82"/>
        <v>3673.333333333333</v>
      </c>
      <c r="E313" s="118">
        <f t="shared" si="83"/>
        <v>734.66666666666674</v>
      </c>
      <c r="F313" s="118">
        <f t="shared" si="84"/>
        <v>4408</v>
      </c>
      <c r="G313" s="118">
        <v>4066</v>
      </c>
      <c r="H313" s="304">
        <f t="shared" si="85"/>
        <v>4407.5439999999999</v>
      </c>
      <c r="I313" s="304">
        <f t="shared" si="86"/>
        <v>4408</v>
      </c>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row>
    <row r="314" spans="1:31" customFormat="1" outlineLevel="2" x14ac:dyDescent="0.25">
      <c r="A314" s="41" t="s">
        <v>1402</v>
      </c>
      <c r="B314" s="29" t="s">
        <v>1407</v>
      </c>
      <c r="C314" s="111" t="s">
        <v>781</v>
      </c>
      <c r="D314" s="118">
        <f t="shared" si="82"/>
        <v>140.83333333333331</v>
      </c>
      <c r="E314" s="118">
        <f t="shared" si="83"/>
        <v>28.166666666666671</v>
      </c>
      <c r="F314" s="118">
        <f t="shared" si="84"/>
        <v>169</v>
      </c>
      <c r="G314" s="118">
        <v>156</v>
      </c>
      <c r="H314" s="304">
        <f t="shared" si="85"/>
        <v>169.10400000000001</v>
      </c>
      <c r="I314" s="304">
        <f t="shared" si="86"/>
        <v>169</v>
      </c>
      <c r="J314" s="158"/>
      <c r="K314" s="158"/>
      <c r="L314" s="158"/>
      <c r="M314" s="158"/>
      <c r="N314" s="158"/>
      <c r="O314" s="158"/>
      <c r="P314" s="158"/>
      <c r="Q314" s="158"/>
      <c r="R314" s="158"/>
      <c r="S314" s="158"/>
      <c r="T314" s="158"/>
      <c r="U314" s="158"/>
      <c r="V314" s="158"/>
      <c r="W314" s="158"/>
      <c r="X314" s="158"/>
      <c r="Y314" s="158"/>
      <c r="Z314" s="158"/>
      <c r="AA314" s="158"/>
      <c r="AB314" s="158"/>
      <c r="AC314" s="158"/>
      <c r="AD314" s="158"/>
      <c r="AE314" s="158"/>
    </row>
    <row r="315" spans="1:31" ht="18.75" collapsed="1" x14ac:dyDescent="0.25">
      <c r="A315" s="392" t="s">
        <v>440</v>
      </c>
      <c r="B315" s="393"/>
      <c r="C315" s="393"/>
      <c r="D315" s="393"/>
      <c r="E315" s="393"/>
      <c r="F315" s="393"/>
      <c r="G315" s="394"/>
      <c r="H315" s="307"/>
      <c r="I315" s="307"/>
    </row>
    <row r="316" spans="1:31" hidden="1" outlineLevel="1" x14ac:dyDescent="0.25">
      <c r="A316" s="247" t="s">
        <v>441</v>
      </c>
      <c r="B316" s="248" t="s">
        <v>1396</v>
      </c>
      <c r="C316" s="238" t="s">
        <v>149</v>
      </c>
      <c r="D316" s="238"/>
      <c r="E316" s="238"/>
      <c r="F316" s="238"/>
      <c r="G316" s="239">
        <v>3252</v>
      </c>
      <c r="H316" s="312"/>
      <c r="I316" s="312"/>
      <c r="K316" s="158" t="s">
        <v>3173</v>
      </c>
    </row>
    <row r="317" spans="1:31" outlineLevel="1" x14ac:dyDescent="0.25">
      <c r="A317" s="249" t="s">
        <v>441</v>
      </c>
      <c r="B317" s="250" t="s">
        <v>3195</v>
      </c>
      <c r="C317" s="251" t="s">
        <v>149</v>
      </c>
      <c r="D317" s="118">
        <f t="shared" ref="D317:D321" si="87">F317-E317</f>
        <v>2937.5</v>
      </c>
      <c r="E317" s="118">
        <f t="shared" ref="E317:E321" si="88">F317/1.2*0.2</f>
        <v>587.5</v>
      </c>
      <c r="F317" s="118">
        <f t="shared" ref="F317:F321" si="89">I317</f>
        <v>3525</v>
      </c>
      <c r="G317" s="252">
        <v>3252</v>
      </c>
      <c r="H317" s="304">
        <f t="shared" ref="H317:H321" si="90">G317*$H$8</f>
        <v>3525.1680000000001</v>
      </c>
      <c r="I317" s="304">
        <f t="shared" ref="I317:I321" si="91">ROUND(H317,0)</f>
        <v>3525</v>
      </c>
      <c r="K317" s="158" t="s">
        <v>3174</v>
      </c>
    </row>
    <row r="318" spans="1:31" outlineLevel="1" x14ac:dyDescent="0.25">
      <c r="A318" s="109" t="s">
        <v>442</v>
      </c>
      <c r="B318" s="26" t="s">
        <v>363</v>
      </c>
      <c r="C318" s="107" t="s">
        <v>233</v>
      </c>
      <c r="D318" s="118">
        <f t="shared" si="87"/>
        <v>965</v>
      </c>
      <c r="E318" s="118">
        <f t="shared" si="88"/>
        <v>193</v>
      </c>
      <c r="F318" s="118">
        <f t="shared" si="89"/>
        <v>1158</v>
      </c>
      <c r="G318" s="118">
        <v>1068</v>
      </c>
      <c r="H318" s="304">
        <f t="shared" si="90"/>
        <v>1157.712</v>
      </c>
      <c r="I318" s="304">
        <f t="shared" si="91"/>
        <v>1158</v>
      </c>
    </row>
    <row r="319" spans="1:31" ht="45" outlineLevel="1" x14ac:dyDescent="0.25">
      <c r="A319" s="109" t="s">
        <v>443</v>
      </c>
      <c r="B319" s="26" t="s">
        <v>1410</v>
      </c>
      <c r="C319" s="107"/>
      <c r="D319" s="118"/>
      <c r="E319" s="118"/>
      <c r="F319" s="118"/>
      <c r="G319" s="138" t="s">
        <v>389</v>
      </c>
      <c r="H319" s="304"/>
      <c r="I319" s="304"/>
    </row>
    <row r="320" spans="1:31" ht="31.5" outlineLevel="1" x14ac:dyDescent="0.25">
      <c r="A320" s="25" t="s">
        <v>1701</v>
      </c>
      <c r="B320" s="26" t="s">
        <v>3776</v>
      </c>
      <c r="C320" s="185" t="s">
        <v>233</v>
      </c>
      <c r="D320" s="118">
        <f t="shared" si="87"/>
        <v>55.833333333333329</v>
      </c>
      <c r="E320" s="118">
        <f t="shared" si="88"/>
        <v>11.166666666666668</v>
      </c>
      <c r="F320" s="118">
        <f t="shared" si="89"/>
        <v>67</v>
      </c>
      <c r="G320" s="118">
        <v>62</v>
      </c>
      <c r="H320" s="304">
        <f t="shared" si="90"/>
        <v>67.207999999999998</v>
      </c>
      <c r="I320" s="304">
        <f t="shared" si="91"/>
        <v>67</v>
      </c>
    </row>
    <row r="321" spans="1:31" outlineLevel="1" x14ac:dyDescent="0.25">
      <c r="A321" s="187" t="s">
        <v>1704</v>
      </c>
      <c r="B321" s="26" t="s">
        <v>1705</v>
      </c>
      <c r="C321" s="186" t="s">
        <v>810</v>
      </c>
      <c r="D321" s="118">
        <f t="shared" si="87"/>
        <v>28.333333333333332</v>
      </c>
      <c r="E321" s="118">
        <f t="shared" si="88"/>
        <v>5.6666666666666679</v>
      </c>
      <c r="F321" s="118">
        <f t="shared" si="89"/>
        <v>34</v>
      </c>
      <c r="G321" s="118">
        <v>31</v>
      </c>
      <c r="H321" s="304">
        <f t="shared" si="90"/>
        <v>33.603999999999999</v>
      </c>
      <c r="I321" s="304">
        <f t="shared" si="91"/>
        <v>34</v>
      </c>
    </row>
    <row r="322" spans="1:31" ht="33" customHeight="1" x14ac:dyDescent="0.25">
      <c r="A322" s="49" t="s">
        <v>405</v>
      </c>
      <c r="B322" s="417" t="s">
        <v>1416</v>
      </c>
      <c r="C322" s="418"/>
      <c r="D322" s="418"/>
      <c r="E322" s="418"/>
      <c r="F322" s="418"/>
      <c r="G322" s="418"/>
      <c r="H322" s="281"/>
      <c r="I322" s="281"/>
    </row>
    <row r="323" spans="1:31" x14ac:dyDescent="0.25">
      <c r="A323" s="49" t="s">
        <v>1398</v>
      </c>
      <c r="B323" s="417" t="s">
        <v>1498</v>
      </c>
      <c r="C323" s="417"/>
      <c r="D323" s="417"/>
      <c r="E323" s="417"/>
      <c r="F323" s="417"/>
      <c r="G323" s="417"/>
      <c r="H323" s="280"/>
      <c r="I323" s="280"/>
    </row>
    <row r="324" spans="1:31" s="101" customFormat="1" ht="18.75" x14ac:dyDescent="0.25">
      <c r="A324" s="419" t="s">
        <v>1219</v>
      </c>
      <c r="B324" s="419"/>
      <c r="C324" s="419"/>
      <c r="D324" s="419"/>
      <c r="E324" s="419"/>
      <c r="F324" s="419"/>
      <c r="G324" s="419"/>
      <c r="H324" s="282"/>
      <c r="I324" s="282"/>
      <c r="J324" s="158"/>
      <c r="K324" s="158"/>
      <c r="L324" s="158"/>
      <c r="M324" s="158"/>
      <c r="N324" s="158"/>
      <c r="O324" s="158"/>
      <c r="P324" s="158"/>
      <c r="Q324" s="158"/>
      <c r="R324" s="158"/>
      <c r="S324" s="158"/>
      <c r="T324" s="158"/>
      <c r="U324" s="158"/>
      <c r="V324" s="158"/>
      <c r="W324" s="158"/>
      <c r="X324" s="158"/>
      <c r="Y324" s="158"/>
      <c r="Z324" s="158"/>
      <c r="AA324" s="158"/>
      <c r="AB324" s="158"/>
      <c r="AC324" s="158"/>
      <c r="AD324" s="158"/>
      <c r="AE324" s="158"/>
    </row>
    <row r="325" spans="1:31" s="101" customFormat="1" ht="9" customHeight="1" x14ac:dyDescent="0.3">
      <c r="A325" s="102"/>
      <c r="B325" s="103"/>
      <c r="C325" s="103"/>
      <c r="D325" s="103"/>
      <c r="E325" s="103"/>
      <c r="F325" s="103"/>
      <c r="G325" s="124"/>
      <c r="H325" s="124"/>
      <c r="I325" s="124"/>
      <c r="J325" s="158"/>
      <c r="K325" s="158"/>
      <c r="L325" s="158"/>
      <c r="M325" s="158"/>
      <c r="N325" s="158"/>
      <c r="O325" s="158"/>
      <c r="P325" s="158"/>
      <c r="Q325" s="158"/>
      <c r="R325" s="158"/>
      <c r="S325" s="158"/>
      <c r="T325" s="158"/>
      <c r="U325" s="158"/>
      <c r="V325" s="158"/>
      <c r="W325" s="158"/>
      <c r="X325" s="158"/>
      <c r="Y325" s="158"/>
      <c r="Z325" s="158"/>
      <c r="AA325" s="158"/>
      <c r="AB325" s="158"/>
      <c r="AC325" s="158"/>
      <c r="AD325" s="158"/>
      <c r="AE325" s="158"/>
    </row>
    <row r="326" spans="1:31" s="101" customFormat="1" ht="52.5" customHeight="1" x14ac:dyDescent="0.25">
      <c r="A326" s="420" t="s">
        <v>1224</v>
      </c>
      <c r="B326" s="420"/>
      <c r="C326" s="420"/>
      <c r="D326" s="420"/>
      <c r="E326" s="420"/>
      <c r="F326" s="420"/>
      <c r="G326" s="420"/>
      <c r="H326" s="283"/>
      <c r="I326" s="283"/>
      <c r="J326" s="158"/>
      <c r="K326" s="158"/>
      <c r="L326" s="158"/>
      <c r="M326" s="158"/>
      <c r="N326" s="158"/>
      <c r="O326" s="158"/>
      <c r="P326" s="158"/>
      <c r="Q326" s="158"/>
      <c r="R326" s="158"/>
      <c r="S326" s="158"/>
      <c r="T326" s="158"/>
      <c r="U326" s="158"/>
      <c r="V326" s="158"/>
      <c r="W326" s="158"/>
      <c r="X326" s="158"/>
      <c r="Y326" s="158"/>
      <c r="Z326" s="158"/>
      <c r="AA326" s="158"/>
      <c r="AB326" s="158"/>
      <c r="AC326" s="158"/>
      <c r="AD326" s="158"/>
      <c r="AE326" s="158"/>
    </row>
    <row r="327" spans="1:31" s="101" customFormat="1" ht="6" customHeight="1" x14ac:dyDescent="0.3">
      <c r="A327" s="102"/>
      <c r="B327" s="103"/>
      <c r="C327" s="103"/>
      <c r="D327" s="103"/>
      <c r="E327" s="103"/>
      <c r="F327" s="103"/>
      <c r="G327" s="124"/>
      <c r="H327" s="124"/>
      <c r="I327" s="124"/>
      <c r="J327" s="158"/>
      <c r="K327" s="158"/>
      <c r="L327" s="158"/>
      <c r="M327" s="158"/>
      <c r="N327" s="158"/>
      <c r="O327" s="158"/>
      <c r="P327" s="158"/>
      <c r="Q327" s="158"/>
      <c r="R327" s="158"/>
      <c r="S327" s="158"/>
      <c r="T327" s="158"/>
      <c r="U327" s="158"/>
      <c r="V327" s="158"/>
      <c r="W327" s="158"/>
      <c r="X327" s="158"/>
      <c r="Y327" s="158"/>
      <c r="Z327" s="158"/>
      <c r="AA327" s="158"/>
      <c r="AB327" s="158"/>
      <c r="AC327" s="158"/>
      <c r="AD327" s="158"/>
      <c r="AE327" s="158"/>
    </row>
    <row r="328" spans="1:31" s="101" customFormat="1" ht="51" customHeight="1" x14ac:dyDescent="0.25">
      <c r="A328" s="421" t="s">
        <v>1223</v>
      </c>
      <c r="B328" s="421"/>
      <c r="C328" s="421"/>
      <c r="D328" s="421"/>
      <c r="E328" s="421"/>
      <c r="F328" s="421"/>
      <c r="G328" s="421"/>
      <c r="H328" s="284"/>
      <c r="I328" s="284"/>
      <c r="J328" s="158"/>
      <c r="K328" s="158"/>
      <c r="L328" s="158"/>
      <c r="M328" s="158"/>
      <c r="N328" s="158"/>
      <c r="O328" s="158"/>
      <c r="P328" s="158"/>
      <c r="Q328" s="158"/>
      <c r="R328" s="158"/>
      <c r="S328" s="158"/>
      <c r="T328" s="158"/>
      <c r="U328" s="158"/>
      <c r="V328" s="158"/>
      <c r="W328" s="158"/>
      <c r="X328" s="158"/>
      <c r="Y328" s="158"/>
      <c r="Z328" s="158"/>
      <c r="AA328" s="158"/>
      <c r="AB328" s="158"/>
      <c r="AC328" s="158"/>
      <c r="AD328" s="158"/>
      <c r="AE328" s="158"/>
    </row>
    <row r="329" spans="1:31" s="48" customFormat="1" ht="6" customHeight="1" x14ac:dyDescent="0.25">
      <c r="A329" s="416"/>
      <c r="B329" s="416"/>
      <c r="C329" s="416"/>
      <c r="D329" s="416"/>
      <c r="E329" s="416"/>
      <c r="F329" s="416"/>
      <c r="G329" s="416"/>
      <c r="H329" s="279"/>
      <c r="I329" s="279"/>
      <c r="J329" s="158"/>
      <c r="K329" s="158"/>
      <c r="L329" s="158"/>
      <c r="M329" s="158"/>
      <c r="N329" s="158"/>
      <c r="O329" s="158"/>
      <c r="P329" s="158"/>
      <c r="Q329" s="158"/>
      <c r="R329" s="158"/>
      <c r="S329" s="158"/>
      <c r="T329" s="158"/>
      <c r="U329" s="158"/>
      <c r="V329" s="158"/>
      <c r="W329" s="158"/>
      <c r="X329" s="158"/>
      <c r="Y329" s="158"/>
      <c r="Z329" s="158"/>
      <c r="AA329" s="158"/>
      <c r="AB329" s="158"/>
      <c r="AC329" s="158"/>
      <c r="AD329" s="158"/>
      <c r="AE329" s="158"/>
    </row>
    <row r="330" spans="1:31" x14ac:dyDescent="0.25">
      <c r="A330" s="415" t="s">
        <v>1225</v>
      </c>
      <c r="B330" s="415"/>
      <c r="C330" s="415"/>
      <c r="D330" s="415"/>
      <c r="E330" s="415"/>
      <c r="F330" s="415"/>
      <c r="G330" s="415"/>
      <c r="H330" s="278"/>
      <c r="I330" s="278"/>
    </row>
    <row r="331" spans="1:31" ht="6" customHeight="1" x14ac:dyDescent="0.25">
      <c r="A331" s="105"/>
      <c r="B331" s="105"/>
      <c r="C331" s="105"/>
      <c r="D331" s="105"/>
      <c r="E331" s="105"/>
      <c r="F331" s="105"/>
      <c r="G331" s="105"/>
      <c r="H331" s="105"/>
      <c r="I331" s="105"/>
    </row>
    <row r="332" spans="1:31" s="50" customFormat="1" ht="35.25" customHeight="1" x14ac:dyDescent="0.25">
      <c r="A332" s="416" t="s">
        <v>3261</v>
      </c>
      <c r="B332" s="416"/>
      <c r="C332" s="416"/>
      <c r="D332" s="416"/>
      <c r="E332" s="416"/>
      <c r="F332" s="416"/>
      <c r="G332" s="416"/>
      <c r="H332" s="279"/>
      <c r="I332" s="279"/>
      <c r="J332" s="158"/>
      <c r="K332" s="158"/>
      <c r="L332" s="158"/>
      <c r="M332" s="158"/>
      <c r="N332" s="158"/>
      <c r="O332" s="158"/>
      <c r="P332" s="158"/>
      <c r="Q332" s="158"/>
      <c r="R332" s="158"/>
      <c r="S332" s="158"/>
      <c r="T332" s="158"/>
      <c r="U332" s="158"/>
      <c r="V332" s="158"/>
      <c r="W332" s="158"/>
      <c r="X332" s="158"/>
      <c r="Y332" s="158"/>
      <c r="Z332" s="158"/>
      <c r="AA332" s="158"/>
      <c r="AB332" s="158"/>
      <c r="AC332" s="158"/>
      <c r="AD332" s="158"/>
      <c r="AE332" s="158"/>
    </row>
    <row r="333" spans="1:31" ht="6" customHeight="1" x14ac:dyDescent="0.25">
      <c r="A333" s="76"/>
      <c r="B333" s="31"/>
      <c r="C333" s="78"/>
      <c r="D333" s="78"/>
      <c r="E333" s="78"/>
      <c r="F333" s="78"/>
      <c r="G333" s="73"/>
      <c r="H333" s="73"/>
      <c r="I333" s="73"/>
    </row>
    <row r="334" spans="1:31" x14ac:dyDescent="0.25">
      <c r="A334" s="31" t="s">
        <v>1228</v>
      </c>
      <c r="C334" s="1"/>
      <c r="D334" s="1"/>
      <c r="E334" s="1"/>
      <c r="F334" s="1"/>
      <c r="G334" s="59"/>
      <c r="H334" s="59"/>
      <c r="I334" s="59"/>
    </row>
    <row r="335" spans="1:31" ht="6" customHeight="1" x14ac:dyDescent="0.3">
      <c r="A335" s="77"/>
      <c r="B335" s="18"/>
      <c r="C335" s="77"/>
      <c r="D335" s="77"/>
      <c r="E335" s="77"/>
      <c r="F335" s="77"/>
    </row>
    <row r="336" spans="1:31" x14ac:dyDescent="0.25">
      <c r="A336" s="319"/>
      <c r="B336" s="320"/>
      <c r="C336" s="319"/>
      <c r="D336" s="319"/>
      <c r="E336" s="319"/>
      <c r="F336" s="319"/>
      <c r="G336" s="321"/>
      <c r="H336" s="321"/>
      <c r="I336" s="321"/>
    </row>
    <row r="337" spans="1:9" ht="18.75" x14ac:dyDescent="0.25">
      <c r="A337" s="322"/>
      <c r="B337" s="323"/>
      <c r="C337" s="324"/>
      <c r="D337" s="324"/>
      <c r="E337" s="324"/>
      <c r="F337" s="324"/>
      <c r="G337" s="325"/>
      <c r="H337" s="325"/>
      <c r="I337" s="325"/>
    </row>
    <row r="338" spans="1:9" ht="18.75" x14ac:dyDescent="0.25">
      <c r="A338" s="322"/>
      <c r="B338" s="323"/>
      <c r="C338" s="324"/>
      <c r="D338" s="324"/>
      <c r="E338" s="324"/>
      <c r="F338" s="324"/>
      <c r="G338" s="325"/>
      <c r="H338" s="325"/>
      <c r="I338" s="325"/>
    </row>
    <row r="339" spans="1:9" ht="18.75" x14ac:dyDescent="0.25">
      <c r="A339" s="322"/>
      <c r="B339" s="323"/>
      <c r="C339" s="324"/>
      <c r="D339" s="324"/>
      <c r="E339" s="324"/>
      <c r="F339" s="324"/>
      <c r="G339" s="325"/>
      <c r="H339" s="325"/>
      <c r="I339" s="325"/>
    </row>
    <row r="340" spans="1:9" ht="18.75" x14ac:dyDescent="0.25">
      <c r="A340" s="322"/>
      <c r="B340" s="323"/>
      <c r="C340" s="324"/>
      <c r="D340" s="324"/>
      <c r="E340" s="324"/>
      <c r="F340" s="324"/>
      <c r="G340" s="325"/>
      <c r="H340" s="325"/>
      <c r="I340" s="325"/>
    </row>
    <row r="341" spans="1:9" ht="18.75" x14ac:dyDescent="0.25">
      <c r="A341" s="322"/>
      <c r="B341" s="323"/>
      <c r="C341" s="324"/>
      <c r="D341" s="324"/>
      <c r="E341" s="324"/>
      <c r="F341" s="324"/>
      <c r="G341" s="325"/>
      <c r="H341" s="325"/>
      <c r="I341" s="325"/>
    </row>
    <row r="342" spans="1:9" ht="18.75" x14ac:dyDescent="0.25">
      <c r="A342" s="322"/>
      <c r="B342" s="323"/>
      <c r="C342" s="324"/>
      <c r="D342" s="324"/>
      <c r="E342" s="324"/>
      <c r="F342" s="324"/>
      <c r="G342" s="325"/>
      <c r="H342" s="325"/>
      <c r="I342" s="325"/>
    </row>
    <row r="343" spans="1:9" ht="18.75" x14ac:dyDescent="0.25">
      <c r="A343" s="322"/>
      <c r="B343" s="323"/>
      <c r="C343" s="324"/>
      <c r="D343" s="324"/>
      <c r="E343" s="324"/>
      <c r="F343" s="324"/>
      <c r="G343" s="325"/>
      <c r="H343" s="325"/>
      <c r="I343" s="325"/>
    </row>
    <row r="344" spans="1:9" ht="18.75" x14ac:dyDescent="0.25">
      <c r="A344" s="322"/>
      <c r="B344" s="323"/>
      <c r="C344" s="324"/>
      <c r="D344" s="324"/>
      <c r="E344" s="324"/>
      <c r="F344" s="324"/>
      <c r="G344" s="325"/>
      <c r="H344" s="325"/>
      <c r="I344" s="325"/>
    </row>
    <row r="345" spans="1:9" ht="18.75" x14ac:dyDescent="0.25">
      <c r="A345" s="322"/>
      <c r="B345" s="323"/>
      <c r="C345" s="324"/>
      <c r="D345" s="324"/>
      <c r="E345" s="324"/>
      <c r="F345" s="324"/>
      <c r="G345" s="325"/>
      <c r="H345" s="325"/>
      <c r="I345" s="325"/>
    </row>
    <row r="346" spans="1:9" ht="18.75" x14ac:dyDescent="0.25">
      <c r="A346" s="322"/>
      <c r="B346" s="323"/>
      <c r="C346" s="324"/>
      <c r="D346" s="324"/>
      <c r="E346" s="324"/>
      <c r="F346" s="324"/>
      <c r="G346" s="325"/>
      <c r="H346" s="325"/>
      <c r="I346" s="325"/>
    </row>
    <row r="347" spans="1:9" ht="18.75" x14ac:dyDescent="0.25">
      <c r="A347" s="322"/>
      <c r="B347" s="323"/>
      <c r="C347" s="324"/>
      <c r="D347" s="324"/>
      <c r="E347" s="324"/>
      <c r="F347" s="324"/>
      <c r="G347" s="325"/>
      <c r="H347" s="325"/>
      <c r="I347" s="325"/>
    </row>
    <row r="348" spans="1:9" ht="18.75" x14ac:dyDescent="0.25">
      <c r="A348" s="413"/>
      <c r="B348" s="413"/>
      <c r="C348" s="413"/>
      <c r="D348" s="413"/>
      <c r="E348" s="413"/>
      <c r="F348" s="413"/>
      <c r="G348" s="413"/>
      <c r="H348" s="324"/>
      <c r="I348" s="324"/>
    </row>
    <row r="349" spans="1:9" ht="18.75" x14ac:dyDescent="0.25">
      <c r="A349" s="322"/>
      <c r="B349" s="326"/>
      <c r="C349" s="324"/>
      <c r="D349" s="324"/>
      <c r="E349" s="324"/>
      <c r="F349" s="324"/>
      <c r="G349" s="327"/>
      <c r="H349" s="327"/>
      <c r="I349" s="327"/>
    </row>
    <row r="350" spans="1:9" ht="18.75" x14ac:dyDescent="0.25">
      <c r="A350" s="322"/>
      <c r="B350" s="326"/>
      <c r="C350" s="324"/>
      <c r="D350" s="324"/>
      <c r="E350" s="324"/>
      <c r="F350" s="324"/>
      <c r="G350" s="327"/>
      <c r="H350" s="327"/>
      <c r="I350" s="327"/>
    </row>
    <row r="351" spans="1:9" ht="18.75" x14ac:dyDescent="0.25">
      <c r="A351" s="414"/>
      <c r="B351" s="414"/>
      <c r="C351" s="414"/>
      <c r="D351" s="414"/>
      <c r="E351" s="414"/>
      <c r="F351" s="414"/>
      <c r="G351" s="414"/>
      <c r="H351" s="322"/>
      <c r="I351" s="322"/>
    </row>
    <row r="352" spans="1:9" ht="18.75" x14ac:dyDescent="0.25">
      <c r="A352" s="322"/>
      <c r="B352" s="323"/>
      <c r="C352" s="324"/>
      <c r="D352" s="324"/>
      <c r="E352" s="324"/>
      <c r="F352" s="324"/>
      <c r="G352" s="325"/>
      <c r="H352" s="325"/>
      <c r="I352" s="325"/>
    </row>
    <row r="353" spans="1:31" ht="18.75" x14ac:dyDescent="0.25">
      <c r="A353" s="322"/>
      <c r="B353" s="323"/>
      <c r="C353" s="324"/>
      <c r="D353" s="324"/>
      <c r="E353" s="324"/>
      <c r="F353" s="324"/>
      <c r="G353" s="325"/>
      <c r="H353" s="325"/>
      <c r="I353" s="325"/>
    </row>
    <row r="354" spans="1:31" ht="18.75" x14ac:dyDescent="0.25">
      <c r="A354" s="322"/>
      <c r="B354" s="323"/>
      <c r="C354" s="324"/>
      <c r="D354" s="324"/>
      <c r="E354" s="324"/>
      <c r="F354" s="324"/>
      <c r="G354" s="325"/>
      <c r="H354" s="325"/>
      <c r="I354" s="325"/>
    </row>
    <row r="355" spans="1:31" ht="18.75" x14ac:dyDescent="0.25">
      <c r="A355" s="322"/>
      <c r="B355" s="323"/>
      <c r="C355" s="324"/>
      <c r="D355" s="324"/>
      <c r="E355" s="324"/>
      <c r="F355" s="324"/>
      <c r="G355" s="325"/>
      <c r="H355" s="325"/>
      <c r="I355" s="325"/>
    </row>
    <row r="356" spans="1:31" ht="18.75" x14ac:dyDescent="0.25">
      <c r="A356" s="322"/>
      <c r="B356" s="323"/>
      <c r="C356" s="324"/>
      <c r="D356" s="324"/>
      <c r="E356" s="324"/>
      <c r="F356" s="324"/>
      <c r="G356" s="325"/>
      <c r="H356" s="325"/>
      <c r="I356" s="325"/>
    </row>
    <row r="357" spans="1:31" ht="18.75" x14ac:dyDescent="0.25">
      <c r="A357" s="322"/>
      <c r="B357" s="323"/>
      <c r="C357" s="324"/>
      <c r="D357" s="324"/>
      <c r="E357" s="324"/>
      <c r="F357" s="324"/>
      <c r="G357" s="325"/>
      <c r="H357" s="325"/>
      <c r="I357" s="325"/>
    </row>
    <row r="358" spans="1:31" ht="18.75" x14ac:dyDescent="0.25">
      <c r="A358" s="414"/>
      <c r="B358" s="414"/>
      <c r="C358" s="414"/>
      <c r="D358" s="414"/>
      <c r="E358" s="414"/>
      <c r="F358" s="414"/>
      <c r="G358" s="414"/>
      <c r="H358" s="322"/>
      <c r="I358" s="322"/>
    </row>
    <row r="359" spans="1:31" ht="18.75" x14ac:dyDescent="0.25">
      <c r="A359" s="322"/>
      <c r="B359" s="323"/>
      <c r="C359" s="324"/>
      <c r="D359" s="324"/>
      <c r="E359" s="324"/>
      <c r="F359" s="324"/>
      <c r="G359" s="325"/>
      <c r="H359" s="325"/>
      <c r="I359" s="325"/>
    </row>
    <row r="360" spans="1:31" ht="18.75" x14ac:dyDescent="0.25">
      <c r="A360" s="322"/>
      <c r="B360" s="323"/>
      <c r="C360" s="324"/>
      <c r="D360" s="324"/>
      <c r="E360" s="324"/>
      <c r="F360" s="324"/>
      <c r="G360" s="325"/>
      <c r="H360" s="325"/>
      <c r="I360" s="325"/>
    </row>
    <row r="361" spans="1:31" ht="18.75" x14ac:dyDescent="0.25">
      <c r="A361" s="322"/>
      <c r="B361" s="323"/>
      <c r="C361" s="324"/>
      <c r="D361" s="324"/>
      <c r="E361" s="324"/>
      <c r="F361" s="324"/>
      <c r="G361" s="325"/>
      <c r="H361" s="325"/>
      <c r="I361" s="325"/>
    </row>
    <row r="362" spans="1:31" ht="18.75" x14ac:dyDescent="0.25">
      <c r="A362" s="322"/>
      <c r="B362" s="323"/>
      <c r="C362" s="324"/>
      <c r="D362" s="324"/>
      <c r="E362" s="324"/>
      <c r="F362" s="324"/>
      <c r="G362" s="325"/>
      <c r="H362" s="325"/>
      <c r="I362" s="325"/>
    </row>
    <row r="363" spans="1:31" ht="18.75" x14ac:dyDescent="0.25">
      <c r="A363" s="322"/>
      <c r="B363" s="323"/>
      <c r="C363" s="324"/>
      <c r="D363" s="324"/>
      <c r="E363" s="324"/>
      <c r="F363" s="324"/>
      <c r="G363" s="325"/>
      <c r="H363" s="325"/>
      <c r="I363" s="325"/>
    </row>
    <row r="364" spans="1:31" s="5" customFormat="1" ht="18.75" x14ac:dyDescent="0.25">
      <c r="A364" s="322"/>
      <c r="B364" s="323"/>
      <c r="C364" s="324"/>
      <c r="D364" s="324"/>
      <c r="E364" s="324"/>
      <c r="F364" s="324"/>
      <c r="G364" s="325"/>
      <c r="H364" s="325"/>
      <c r="I364" s="325"/>
      <c r="J364" s="158"/>
      <c r="K364" s="158"/>
      <c r="L364" s="158"/>
      <c r="M364" s="158"/>
      <c r="N364" s="158"/>
      <c r="O364" s="158"/>
      <c r="P364" s="158"/>
      <c r="Q364" s="158"/>
      <c r="R364" s="158"/>
      <c r="S364" s="158"/>
      <c r="T364" s="158"/>
      <c r="U364" s="158"/>
      <c r="V364" s="158"/>
      <c r="W364" s="158"/>
      <c r="X364" s="158"/>
      <c r="Y364" s="158"/>
      <c r="Z364" s="158"/>
      <c r="AA364" s="158"/>
      <c r="AB364" s="158"/>
      <c r="AC364" s="158"/>
      <c r="AD364" s="158"/>
      <c r="AE364" s="158"/>
    </row>
    <row r="365" spans="1:31" ht="18.75" x14ac:dyDescent="0.25">
      <c r="A365" s="322"/>
      <c r="B365" s="323"/>
      <c r="C365" s="324"/>
      <c r="D365" s="324"/>
      <c r="E365" s="324"/>
      <c r="F365" s="324"/>
      <c r="G365" s="325"/>
      <c r="H365" s="325"/>
      <c r="I365" s="325"/>
    </row>
    <row r="366" spans="1:31" ht="18.75" x14ac:dyDescent="0.25">
      <c r="A366" s="413"/>
      <c r="B366" s="413"/>
      <c r="C366" s="413"/>
      <c r="D366" s="413"/>
      <c r="E366" s="413"/>
      <c r="F366" s="413"/>
      <c r="G366" s="413"/>
      <c r="H366" s="324"/>
      <c r="I366" s="324"/>
    </row>
    <row r="367" spans="1:31" ht="18.75" x14ac:dyDescent="0.25">
      <c r="A367" s="322"/>
      <c r="B367" s="323"/>
      <c r="C367" s="324"/>
      <c r="D367" s="324"/>
      <c r="E367" s="324"/>
      <c r="F367" s="324"/>
      <c r="G367" s="325"/>
      <c r="H367" s="325"/>
      <c r="I367" s="325"/>
    </row>
    <row r="368" spans="1:31" ht="18.75" x14ac:dyDescent="0.25">
      <c r="A368" s="322"/>
      <c r="B368" s="323"/>
      <c r="C368" s="324"/>
      <c r="D368" s="324"/>
      <c r="E368" s="324"/>
      <c r="F368" s="324"/>
      <c r="G368" s="325"/>
      <c r="H368" s="325"/>
      <c r="I368" s="325"/>
    </row>
    <row r="369" spans="1:9" ht="18.75" x14ac:dyDescent="0.25">
      <c r="A369" s="322"/>
      <c r="B369" s="323"/>
      <c r="C369" s="324"/>
      <c r="D369" s="324"/>
      <c r="E369" s="324"/>
      <c r="F369" s="324"/>
      <c r="G369" s="325"/>
      <c r="H369" s="325"/>
      <c r="I369" s="325"/>
    </row>
    <row r="370" spans="1:9" ht="18.75" x14ac:dyDescent="0.25">
      <c r="A370" s="322"/>
      <c r="B370" s="323"/>
      <c r="C370" s="324"/>
      <c r="D370" s="324"/>
      <c r="E370" s="324"/>
      <c r="F370" s="324"/>
      <c r="G370" s="325"/>
      <c r="H370" s="325"/>
      <c r="I370" s="325"/>
    </row>
    <row r="371" spans="1:9" ht="18.75" x14ac:dyDescent="0.25">
      <c r="A371" s="322"/>
      <c r="B371" s="323"/>
      <c r="C371" s="324"/>
      <c r="D371" s="324"/>
      <c r="E371" s="324"/>
      <c r="F371" s="324"/>
      <c r="G371" s="325"/>
      <c r="H371" s="325"/>
      <c r="I371" s="325"/>
    </row>
    <row r="372" spans="1:9" ht="18.75" x14ac:dyDescent="0.25">
      <c r="A372" s="322"/>
      <c r="B372" s="323"/>
      <c r="C372" s="324"/>
      <c r="D372" s="324"/>
      <c r="E372" s="324"/>
      <c r="F372" s="324"/>
      <c r="G372" s="325"/>
      <c r="H372" s="325"/>
      <c r="I372" s="325"/>
    </row>
    <row r="373" spans="1:9" ht="18.75" x14ac:dyDescent="0.25">
      <c r="A373" s="322"/>
      <c r="B373" s="323"/>
      <c r="C373" s="324"/>
      <c r="D373" s="324"/>
      <c r="E373" s="324"/>
      <c r="F373" s="324"/>
      <c r="G373" s="325"/>
      <c r="H373" s="325"/>
      <c r="I373" s="325"/>
    </row>
    <row r="374" spans="1:9" ht="18.75" x14ac:dyDescent="0.25">
      <c r="A374" s="322"/>
      <c r="B374" s="323"/>
      <c r="C374" s="324"/>
      <c r="D374" s="324"/>
      <c r="E374" s="324"/>
      <c r="F374" s="324"/>
      <c r="G374" s="325"/>
      <c r="H374" s="325"/>
      <c r="I374" s="325"/>
    </row>
    <row r="375" spans="1:9" ht="18.75" x14ac:dyDescent="0.25">
      <c r="A375" s="322"/>
      <c r="B375" s="323"/>
      <c r="C375" s="324"/>
      <c r="D375" s="324"/>
      <c r="E375" s="324"/>
      <c r="F375" s="324"/>
      <c r="G375" s="325"/>
      <c r="H375" s="325"/>
      <c r="I375" s="325"/>
    </row>
    <row r="376" spans="1:9" ht="18.75" x14ac:dyDescent="0.25">
      <c r="A376" s="322"/>
      <c r="B376" s="323"/>
      <c r="C376" s="324"/>
      <c r="D376" s="324"/>
      <c r="E376" s="324"/>
      <c r="F376" s="324"/>
      <c r="G376" s="325"/>
      <c r="H376" s="325"/>
      <c r="I376" s="325"/>
    </row>
    <row r="377" spans="1:9" ht="18.75" x14ac:dyDescent="0.25">
      <c r="A377" s="322"/>
      <c r="B377" s="323"/>
      <c r="C377" s="324"/>
      <c r="D377" s="324"/>
      <c r="E377" s="324"/>
      <c r="F377" s="324"/>
      <c r="G377" s="325"/>
      <c r="H377" s="325"/>
      <c r="I377" s="325"/>
    </row>
    <row r="378" spans="1:9" ht="18.75" x14ac:dyDescent="0.25">
      <c r="A378" s="322"/>
      <c r="B378" s="323"/>
      <c r="C378" s="324"/>
      <c r="D378" s="324"/>
      <c r="E378" s="324"/>
      <c r="F378" s="324"/>
      <c r="G378" s="325"/>
      <c r="H378" s="325"/>
      <c r="I378" s="325"/>
    </row>
    <row r="379" spans="1:9" ht="18.75" x14ac:dyDescent="0.25">
      <c r="A379" s="413"/>
      <c r="B379" s="413"/>
      <c r="C379" s="413"/>
      <c r="D379" s="413"/>
      <c r="E379" s="413"/>
      <c r="F379" s="413"/>
      <c r="G379" s="413"/>
      <c r="H379" s="324"/>
      <c r="I379" s="324"/>
    </row>
    <row r="380" spans="1:9" ht="18.75" x14ac:dyDescent="0.25">
      <c r="A380" s="322"/>
      <c r="B380" s="326"/>
      <c r="C380" s="324"/>
      <c r="D380" s="324"/>
      <c r="E380" s="324"/>
      <c r="F380" s="324"/>
      <c r="G380" s="327"/>
      <c r="H380" s="327"/>
      <c r="I380" s="327"/>
    </row>
    <row r="381" spans="1:9" ht="18.75" x14ac:dyDescent="0.25">
      <c r="A381" s="322"/>
      <c r="B381" s="326"/>
      <c r="C381" s="324"/>
      <c r="D381" s="324"/>
      <c r="E381" s="324"/>
      <c r="F381" s="324"/>
      <c r="G381" s="327"/>
      <c r="H381" s="327"/>
      <c r="I381" s="327"/>
    </row>
    <row r="382" spans="1:9" ht="18.75" x14ac:dyDescent="0.25">
      <c r="A382" s="322"/>
      <c r="B382" s="323"/>
      <c r="C382" s="324"/>
      <c r="D382" s="324"/>
      <c r="E382" s="324"/>
      <c r="F382" s="324"/>
      <c r="G382" s="325"/>
      <c r="H382" s="325"/>
      <c r="I382" s="325"/>
    </row>
    <row r="383" spans="1:9" x14ac:dyDescent="0.25">
      <c r="A383" s="328"/>
      <c r="B383" s="329"/>
      <c r="C383" s="328"/>
      <c r="D383" s="328"/>
      <c r="E383" s="328"/>
      <c r="F383" s="328"/>
      <c r="G383" s="325"/>
      <c r="H383" s="325"/>
      <c r="I383" s="325"/>
    </row>
    <row r="384" spans="1:9" x14ac:dyDescent="0.25">
      <c r="A384" s="328"/>
      <c r="B384" s="329"/>
      <c r="C384" s="328"/>
      <c r="D384" s="328"/>
      <c r="E384" s="328"/>
      <c r="F384" s="328"/>
      <c r="G384" s="325"/>
      <c r="H384" s="325"/>
      <c r="I384" s="325"/>
    </row>
    <row r="385" spans="1:31" x14ac:dyDescent="0.25">
      <c r="A385" s="328"/>
      <c r="B385" s="329"/>
      <c r="C385" s="328"/>
      <c r="D385" s="328"/>
      <c r="E385" s="328"/>
      <c r="F385" s="328"/>
      <c r="G385" s="325"/>
      <c r="H385" s="325"/>
      <c r="I385" s="325"/>
    </row>
    <row r="386" spans="1:31" x14ac:dyDescent="0.25">
      <c r="A386" s="328"/>
      <c r="B386" s="329"/>
      <c r="C386" s="328"/>
      <c r="D386" s="328"/>
      <c r="E386" s="328"/>
      <c r="F386" s="328"/>
      <c r="G386" s="325"/>
      <c r="H386" s="325"/>
      <c r="I386" s="325"/>
    </row>
    <row r="387" spans="1:31" x14ac:dyDescent="0.25">
      <c r="A387" s="328"/>
      <c r="B387" s="329"/>
      <c r="C387" s="328"/>
      <c r="D387" s="328"/>
      <c r="E387" s="328"/>
      <c r="F387" s="328"/>
      <c r="G387" s="325"/>
      <c r="H387" s="325"/>
      <c r="I387" s="325"/>
    </row>
    <row r="388" spans="1:31" x14ac:dyDescent="0.25">
      <c r="A388" s="328"/>
      <c r="B388" s="329"/>
      <c r="C388" s="328"/>
      <c r="D388" s="328"/>
      <c r="E388" s="328"/>
      <c r="F388" s="328"/>
      <c r="G388" s="325"/>
      <c r="H388" s="325"/>
      <c r="I388" s="325"/>
    </row>
    <row r="389" spans="1:31" x14ac:dyDescent="0.25">
      <c r="A389" s="328"/>
      <c r="B389" s="329"/>
      <c r="C389" s="328"/>
      <c r="D389" s="328"/>
      <c r="E389" s="328"/>
      <c r="F389" s="328"/>
      <c r="G389" s="325"/>
      <c r="H389" s="325"/>
      <c r="I389" s="325"/>
    </row>
    <row r="390" spans="1:31" x14ac:dyDescent="0.25">
      <c r="A390" s="328"/>
      <c r="B390" s="329"/>
      <c r="C390" s="328"/>
      <c r="D390" s="328"/>
      <c r="E390" s="328"/>
      <c r="F390" s="328"/>
      <c r="G390" s="325"/>
      <c r="H390" s="325"/>
      <c r="I390" s="325"/>
    </row>
    <row r="391" spans="1:31" x14ac:dyDescent="0.25">
      <c r="A391" s="328"/>
      <c r="B391" s="329"/>
      <c r="C391" s="328"/>
      <c r="D391" s="328"/>
      <c r="E391" s="328"/>
      <c r="F391" s="328"/>
      <c r="G391" s="325"/>
      <c r="H391" s="325"/>
      <c r="I391" s="325"/>
    </row>
    <row r="392" spans="1:31" s="5" customFormat="1" x14ac:dyDescent="0.25">
      <c r="A392" s="328"/>
      <c r="B392" s="329"/>
      <c r="C392" s="328"/>
      <c r="D392" s="328"/>
      <c r="E392" s="328"/>
      <c r="F392" s="328"/>
      <c r="G392" s="325"/>
      <c r="H392" s="325"/>
      <c r="I392" s="325"/>
      <c r="J392" s="158"/>
      <c r="K392" s="158"/>
      <c r="L392" s="158"/>
      <c r="M392" s="158"/>
      <c r="N392" s="158"/>
      <c r="O392" s="158"/>
      <c r="P392" s="158"/>
      <c r="Q392" s="158"/>
      <c r="R392" s="158"/>
      <c r="S392" s="158"/>
      <c r="T392" s="158"/>
      <c r="U392" s="158"/>
      <c r="V392" s="158"/>
      <c r="W392" s="158"/>
      <c r="X392" s="158"/>
      <c r="Y392" s="158"/>
      <c r="Z392" s="158"/>
      <c r="AA392" s="158"/>
      <c r="AB392" s="158"/>
      <c r="AC392" s="158"/>
      <c r="AD392" s="158"/>
      <c r="AE392" s="158"/>
    </row>
    <row r="393" spans="1:31" ht="2.25" customHeight="1" x14ac:dyDescent="0.25"/>
    <row r="394" spans="1:31" s="5" customFormat="1" x14ac:dyDescent="0.25">
      <c r="A394" s="48"/>
      <c r="B394" s="1"/>
      <c r="C394" s="48"/>
      <c r="D394" s="48"/>
      <c r="E394" s="48"/>
      <c r="F394" s="48"/>
      <c r="G394" s="74"/>
      <c r="H394" s="74"/>
      <c r="I394" s="74"/>
      <c r="J394" s="158"/>
      <c r="K394" s="158"/>
      <c r="L394" s="158"/>
      <c r="M394" s="158"/>
      <c r="N394" s="158"/>
      <c r="O394" s="158"/>
      <c r="P394" s="158"/>
      <c r="Q394" s="158"/>
      <c r="R394" s="158"/>
      <c r="S394" s="158"/>
      <c r="T394" s="158"/>
      <c r="U394" s="158"/>
      <c r="V394" s="158"/>
      <c r="W394" s="158"/>
      <c r="X394" s="158"/>
      <c r="Y394" s="158"/>
      <c r="Z394" s="158"/>
      <c r="AA394" s="158"/>
      <c r="AB394" s="158"/>
      <c r="AC394" s="158"/>
      <c r="AD394" s="158"/>
      <c r="AE394" s="158"/>
    </row>
    <row r="395" spans="1:31" s="5" customFormat="1" x14ac:dyDescent="0.25">
      <c r="A395" s="48"/>
      <c r="B395" s="1"/>
      <c r="C395" s="48"/>
      <c r="D395" s="48"/>
      <c r="E395" s="48"/>
      <c r="F395" s="48"/>
      <c r="G395" s="74"/>
      <c r="H395" s="74"/>
      <c r="I395" s="74"/>
      <c r="J395" s="158"/>
      <c r="K395" s="158"/>
      <c r="L395" s="158"/>
      <c r="M395" s="158"/>
      <c r="N395" s="158"/>
      <c r="O395" s="158"/>
      <c r="P395" s="158"/>
      <c r="Q395" s="158"/>
      <c r="R395" s="158"/>
      <c r="S395" s="158"/>
      <c r="T395" s="158"/>
      <c r="U395" s="158"/>
      <c r="V395" s="158"/>
      <c r="W395" s="158"/>
      <c r="X395" s="158"/>
      <c r="Y395" s="158"/>
      <c r="Z395" s="158"/>
      <c r="AA395" s="158"/>
      <c r="AB395" s="158"/>
      <c r="AC395" s="158"/>
      <c r="AD395" s="158"/>
      <c r="AE395" s="158"/>
    </row>
  </sheetData>
  <autoFilter ref="A8:I324"/>
  <mergeCells count="40">
    <mergeCell ref="A330:G330"/>
    <mergeCell ref="A332:G332"/>
    <mergeCell ref="B322:G322"/>
    <mergeCell ref="A324:G324"/>
    <mergeCell ref="A326:G326"/>
    <mergeCell ref="A328:G328"/>
    <mergeCell ref="A329:G329"/>
    <mergeCell ref="B323:G323"/>
    <mergeCell ref="A366:G366"/>
    <mergeCell ref="A379:G379"/>
    <mergeCell ref="A348:G348"/>
    <mergeCell ref="A351:G351"/>
    <mergeCell ref="A358:G358"/>
    <mergeCell ref="A308:G308"/>
    <mergeCell ref="A315:G315"/>
    <mergeCell ref="A220:G220"/>
    <mergeCell ref="A244:G244"/>
    <mergeCell ref="A264:G264"/>
    <mergeCell ref="A275:G275"/>
    <mergeCell ref="A292:G292"/>
    <mergeCell ref="A300:G300"/>
    <mergeCell ref="A219:G219"/>
    <mergeCell ref="A39:G39"/>
    <mergeCell ref="A44:G44"/>
    <mergeCell ref="A62:G62"/>
    <mergeCell ref="A95:G95"/>
    <mergeCell ref="A102:G102"/>
    <mergeCell ref="A109:G109"/>
    <mergeCell ref="A117:G117"/>
    <mergeCell ref="A126:G126"/>
    <mergeCell ref="A175:G175"/>
    <mergeCell ref="A163:G163"/>
    <mergeCell ref="A171:G171"/>
    <mergeCell ref="A9:G9"/>
    <mergeCell ref="A10:G10"/>
    <mergeCell ref="B3:G3"/>
    <mergeCell ref="A4:G4"/>
    <mergeCell ref="A5:G5"/>
    <mergeCell ref="A6:G6"/>
    <mergeCell ref="A7:G7"/>
  </mergeCells>
  <printOptions horizontalCentered="1"/>
  <pageMargins left="0.59055118110236227" right="0.19685039370078741" top="0.39370078740157483" bottom="0.39370078740157483" header="0" footer="0"/>
  <pageSetup paperSize="9" scale="68" orientation="portrait" r:id="rId1"/>
  <headerFooter>
    <oddFooter>&amp;C&amp;P</oddFooter>
  </headerFooter>
  <rowBreaks count="5" manualBreakCount="5">
    <brk id="55" max="5" man="1"/>
    <brk id="106" max="5" man="1"/>
    <brk id="170" max="5" man="1"/>
    <brk id="234" max="5" man="1"/>
    <brk id="307"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pageSetUpPr fitToPage="1"/>
  </sheetPr>
  <dimension ref="A1:L1012"/>
  <sheetViews>
    <sheetView tabSelected="1" topLeftCell="A258" zoomScale="120" zoomScaleNormal="120" workbookViewId="0">
      <selection activeCell="B279" sqref="B279"/>
    </sheetView>
  </sheetViews>
  <sheetFormatPr defaultColWidth="8.5703125" defaultRowHeight="15.75" outlineLevelRow="5" x14ac:dyDescent="0.25"/>
  <cols>
    <col min="1" max="1" width="9.42578125" style="48" customWidth="1"/>
    <col min="2" max="2" width="79.5703125" style="1" customWidth="1"/>
    <col min="3" max="3" width="15.42578125" style="48" bestFit="1" customWidth="1"/>
    <col min="4" max="6" width="15.42578125" style="48" customWidth="1"/>
    <col min="7" max="7" width="12.140625" style="74" hidden="1" customWidth="1"/>
    <col min="8" max="8" width="18.28515625" style="74" hidden="1" customWidth="1"/>
    <col min="9" max="9" width="18" style="74" hidden="1" customWidth="1"/>
    <col min="10" max="10" width="8.5703125" style="1" hidden="1" customWidth="1"/>
    <col min="11" max="11" width="10.5703125" style="1" hidden="1" customWidth="1"/>
    <col min="12" max="12" width="8.5703125" style="171" customWidth="1"/>
    <col min="13" max="16384" width="8.5703125" style="1"/>
  </cols>
  <sheetData>
    <row r="1" spans="1:12" ht="18" x14ac:dyDescent="0.25">
      <c r="B1" s="47"/>
      <c r="C1" s="80"/>
      <c r="D1" s="80"/>
      <c r="E1" s="80"/>
      <c r="F1" s="71" t="s">
        <v>364</v>
      </c>
      <c r="H1" s="71"/>
      <c r="I1" s="71"/>
    </row>
    <row r="2" spans="1:12" ht="18" x14ac:dyDescent="0.25">
      <c r="A2" s="1"/>
      <c r="B2" s="44"/>
      <c r="C2" s="2"/>
      <c r="D2" s="2"/>
      <c r="E2" s="313"/>
      <c r="F2" s="116" t="str">
        <f>'Лаборатория - ПТЗ, Шуйское, 26'!F2</f>
        <v>№  1027-П от 29 декабря 2021 года</v>
      </c>
      <c r="H2" s="116"/>
      <c r="I2" s="116"/>
    </row>
    <row r="3" spans="1:12" ht="15" x14ac:dyDescent="0.25">
      <c r="B3" s="387"/>
      <c r="C3" s="388"/>
      <c r="D3" s="388"/>
      <c r="E3" s="388"/>
      <c r="F3" s="388"/>
      <c r="G3" s="388"/>
      <c r="H3" s="288"/>
      <c r="I3" s="288"/>
    </row>
    <row r="4" spans="1:12" ht="23.25" x14ac:dyDescent="0.25">
      <c r="A4" s="389" t="s">
        <v>1220</v>
      </c>
      <c r="B4" s="389"/>
      <c r="C4" s="389"/>
      <c r="D4" s="389"/>
      <c r="E4" s="389"/>
      <c r="F4" s="389"/>
      <c r="G4" s="389"/>
      <c r="H4" s="289"/>
      <c r="I4" s="289"/>
    </row>
    <row r="5" spans="1:12" ht="21" x14ac:dyDescent="0.25">
      <c r="A5" s="390" t="s">
        <v>1221</v>
      </c>
      <c r="B5" s="390"/>
      <c r="C5" s="390"/>
      <c r="D5" s="390"/>
      <c r="E5" s="390"/>
      <c r="F5" s="390"/>
      <c r="G5" s="390"/>
      <c r="H5" s="290"/>
      <c r="I5" s="290"/>
    </row>
    <row r="6" spans="1:12" s="3" customFormat="1" ht="21" x14ac:dyDescent="0.35">
      <c r="A6" s="390" t="s">
        <v>1222</v>
      </c>
      <c r="B6" s="390"/>
      <c r="C6" s="390"/>
      <c r="D6" s="390"/>
      <c r="E6" s="390"/>
      <c r="F6" s="390"/>
      <c r="G6" s="390"/>
      <c r="H6" s="290"/>
      <c r="I6" s="290"/>
      <c r="L6" s="172"/>
    </row>
    <row r="7" spans="1:12" s="114" customFormat="1" ht="33" customHeight="1" x14ac:dyDescent="0.35">
      <c r="A7" s="431" t="str">
        <f>'Лаборатория - ПТЗ, Шуйское, 26'!A7</f>
        <v>изменения от 02.02.2022г № 32-П, от 25.02.22г № 55-П, от 04.03.22г  № 70-П, от 15.03.22г № 85-П, от 25.03.22г № 109-П, от 06.04.22г № 130-П, от 13.04.22г № 139-П, от 15.04.22г № 148-П, от 25.04.22г № 172-П, от 13.05.22г № 211-П, от 30.05.22г № 249-П, от 17.06.22г №289-П</v>
      </c>
      <c r="B7" s="431"/>
      <c r="C7" s="431"/>
      <c r="D7" s="431"/>
      <c r="E7" s="431"/>
      <c r="F7" s="431"/>
      <c r="G7" s="431"/>
      <c r="H7" s="208" t="s">
        <v>1579</v>
      </c>
      <c r="I7" s="314"/>
      <c r="L7" s="173"/>
    </row>
    <row r="8" spans="1:12" s="4" customFormat="1" ht="59.25" customHeight="1" x14ac:dyDescent="0.2">
      <c r="A8" s="16" t="s">
        <v>0</v>
      </c>
      <c r="B8" s="16" t="s">
        <v>1</v>
      </c>
      <c r="C8" s="119" t="s">
        <v>2</v>
      </c>
      <c r="D8" s="17" t="s">
        <v>3</v>
      </c>
      <c r="E8" s="16" t="s">
        <v>1393</v>
      </c>
      <c r="F8" s="17" t="s">
        <v>1394</v>
      </c>
      <c r="G8" s="17" t="s">
        <v>3309</v>
      </c>
      <c r="H8" s="210">
        <v>1.0840000000000001</v>
      </c>
      <c r="I8" s="301"/>
      <c r="J8" s="4" t="s">
        <v>3262</v>
      </c>
      <c r="L8" s="192"/>
    </row>
    <row r="9" spans="1:12" ht="18.75" x14ac:dyDescent="0.25">
      <c r="A9" s="430" t="s">
        <v>1226</v>
      </c>
      <c r="B9" s="430"/>
      <c r="C9" s="430"/>
      <c r="D9" s="430"/>
      <c r="E9" s="430"/>
      <c r="F9" s="430"/>
      <c r="G9" s="430"/>
      <c r="H9" s="302"/>
      <c r="I9" s="302"/>
    </row>
    <row r="10" spans="1:12" ht="18.75" x14ac:dyDescent="0.25">
      <c r="A10" s="432" t="s">
        <v>1295</v>
      </c>
      <c r="B10" s="433"/>
      <c r="C10" s="433"/>
      <c r="D10" s="433"/>
      <c r="E10" s="433"/>
      <c r="F10" s="433"/>
      <c r="G10" s="434"/>
      <c r="H10" s="315"/>
      <c r="I10" s="315"/>
    </row>
    <row r="11" spans="1:12" ht="18.75" x14ac:dyDescent="0.25">
      <c r="A11" s="423" t="s">
        <v>1229</v>
      </c>
      <c r="B11" s="424"/>
      <c r="C11" s="424"/>
      <c r="D11" s="424"/>
      <c r="E11" s="424"/>
      <c r="F11" s="424"/>
      <c r="G11" s="425"/>
      <c r="H11" s="316"/>
      <c r="I11" s="316"/>
    </row>
    <row r="12" spans="1:12" customFormat="1" ht="18.75" x14ac:dyDescent="0.2">
      <c r="A12" s="392" t="s">
        <v>1230</v>
      </c>
      <c r="B12" s="393"/>
      <c r="C12" s="393"/>
      <c r="D12" s="393"/>
      <c r="E12" s="393"/>
      <c r="F12" s="393"/>
      <c r="G12" s="394"/>
      <c r="H12" s="307"/>
      <c r="I12" s="307"/>
      <c r="L12" s="195"/>
    </row>
    <row r="13" spans="1:12" customFormat="1" ht="31.5" customHeight="1" outlineLevel="1" x14ac:dyDescent="0.2">
      <c r="A13" s="215" t="s">
        <v>2171</v>
      </c>
      <c r="B13" s="70" t="s">
        <v>486</v>
      </c>
      <c r="C13" s="107" t="s">
        <v>487</v>
      </c>
      <c r="D13" s="118">
        <f>F13-E13</f>
        <v>333.33333333333331</v>
      </c>
      <c r="E13" s="118">
        <f>F13/1.2*0.2</f>
        <v>66.666666666666671</v>
      </c>
      <c r="F13" s="118">
        <v>400</v>
      </c>
      <c r="G13" s="118">
        <f>313/1.2/1.09*1.2*1.2</f>
        <v>344.58715596330273</v>
      </c>
      <c r="H13" s="304">
        <f>G13*$H$8</f>
        <v>373.53247706422019</v>
      </c>
      <c r="I13" s="304">
        <f>ROUND(H13,0)</f>
        <v>374</v>
      </c>
      <c r="J13" s="330">
        <v>0.09</v>
      </c>
      <c r="L13" s="195"/>
    </row>
    <row r="14" spans="1:12" customFormat="1" ht="15.75" customHeight="1" outlineLevel="1" x14ac:dyDescent="0.2">
      <c r="A14" s="215" t="s">
        <v>2172</v>
      </c>
      <c r="B14" s="70" t="s">
        <v>488</v>
      </c>
      <c r="C14" s="107" t="s">
        <v>487</v>
      </c>
      <c r="D14" s="118">
        <f t="shared" ref="D14:D77" si="0">F14-E14</f>
        <v>166.66666666666666</v>
      </c>
      <c r="E14" s="118">
        <f t="shared" ref="E14:E77" si="1">F14/1.2*0.2</f>
        <v>33.333333333333336</v>
      </c>
      <c r="F14" s="118">
        <f>F13/2</f>
        <v>200</v>
      </c>
      <c r="G14" s="118">
        <f>156/1.2/1.07*1.2*1.2</f>
        <v>174.95327102803736</v>
      </c>
      <c r="H14" s="304">
        <f t="shared" ref="H14:H31" si="2">G14*$H$8</f>
        <v>189.6493457943925</v>
      </c>
      <c r="I14" s="304">
        <f t="shared" ref="I14:I77" si="3">ROUND(H14,0)</f>
        <v>190</v>
      </c>
      <c r="J14" s="330">
        <v>7.0000000000000007E-2</v>
      </c>
      <c r="L14" s="195"/>
    </row>
    <row r="15" spans="1:12" customFormat="1" ht="51" customHeight="1" outlineLevel="1" x14ac:dyDescent="0.2">
      <c r="A15" s="215" t="s">
        <v>2173</v>
      </c>
      <c r="B15" s="70" t="s">
        <v>489</v>
      </c>
      <c r="C15" s="107" t="s">
        <v>1409</v>
      </c>
      <c r="D15" s="118">
        <f t="shared" si="0"/>
        <v>180.83333333333331</v>
      </c>
      <c r="E15" s="118">
        <f t="shared" si="1"/>
        <v>36.166666666666671</v>
      </c>
      <c r="F15" s="118">
        <f t="shared" ref="F15:F77" si="4">I15</f>
        <v>217</v>
      </c>
      <c r="G15" s="118">
        <f>156/1.2*1.07*1.2*1.2</f>
        <v>200.30399999999997</v>
      </c>
      <c r="H15" s="304">
        <f t="shared" si="2"/>
        <v>217.12953599999997</v>
      </c>
      <c r="I15" s="304">
        <f t="shared" si="3"/>
        <v>217</v>
      </c>
      <c r="J15" s="330">
        <v>7.0000000000000007E-2</v>
      </c>
      <c r="L15" s="195"/>
    </row>
    <row r="16" spans="1:12" customFormat="1" ht="31.5" customHeight="1" outlineLevel="1" x14ac:dyDescent="0.2">
      <c r="A16" s="215" t="s">
        <v>2174</v>
      </c>
      <c r="B16" s="70" t="s">
        <v>490</v>
      </c>
      <c r="C16" s="107" t="s">
        <v>491</v>
      </c>
      <c r="D16" s="118">
        <f t="shared" si="0"/>
        <v>182.5</v>
      </c>
      <c r="E16" s="118">
        <f t="shared" si="1"/>
        <v>36.5</v>
      </c>
      <c r="F16" s="118">
        <f t="shared" si="4"/>
        <v>219</v>
      </c>
      <c r="G16" s="118">
        <f>156/1.2*1.08*1.2*1.2</f>
        <v>202.17599999999999</v>
      </c>
      <c r="H16" s="304">
        <f t="shared" si="2"/>
        <v>219.158784</v>
      </c>
      <c r="I16" s="304">
        <f t="shared" si="3"/>
        <v>219</v>
      </c>
      <c r="J16" s="330">
        <v>0.08</v>
      </c>
      <c r="L16" s="195"/>
    </row>
    <row r="17" spans="1:12" customFormat="1" ht="31.5" customHeight="1" outlineLevel="1" x14ac:dyDescent="0.2">
      <c r="A17" s="215" t="s">
        <v>2175</v>
      </c>
      <c r="B17" s="70" t="s">
        <v>492</v>
      </c>
      <c r="C17" s="107" t="s">
        <v>491</v>
      </c>
      <c r="D17" s="118">
        <f t="shared" si="0"/>
        <v>117.5</v>
      </c>
      <c r="E17" s="118">
        <f t="shared" si="1"/>
        <v>23.5</v>
      </c>
      <c r="F17" s="118">
        <f t="shared" si="4"/>
        <v>141</v>
      </c>
      <c r="G17" s="118">
        <f>94/1.2*1.15*1.2*1.2</f>
        <v>129.72</v>
      </c>
      <c r="H17" s="304">
        <f t="shared" si="2"/>
        <v>140.61648</v>
      </c>
      <c r="I17" s="304">
        <f t="shared" si="3"/>
        <v>141</v>
      </c>
      <c r="J17" s="330">
        <v>0.15</v>
      </c>
      <c r="L17" s="195"/>
    </row>
    <row r="18" spans="1:12" customFormat="1" ht="24" customHeight="1" outlineLevel="1" x14ac:dyDescent="0.2">
      <c r="A18" s="215" t="s">
        <v>2176</v>
      </c>
      <c r="B18" s="70" t="s">
        <v>493</v>
      </c>
      <c r="C18" s="107" t="s">
        <v>487</v>
      </c>
      <c r="D18" s="118">
        <f t="shared" si="0"/>
        <v>158.33333333333331</v>
      </c>
      <c r="E18" s="118">
        <f t="shared" si="1"/>
        <v>31.666666666666671</v>
      </c>
      <c r="F18" s="118">
        <f t="shared" si="4"/>
        <v>190</v>
      </c>
      <c r="G18" s="118">
        <f>156/1.2/1.07*1.2*1.2</f>
        <v>174.95327102803736</v>
      </c>
      <c r="H18" s="304">
        <f t="shared" si="2"/>
        <v>189.6493457943925</v>
      </c>
      <c r="I18" s="304">
        <f t="shared" si="3"/>
        <v>190</v>
      </c>
      <c r="J18" s="330">
        <v>7.0000000000000007E-2</v>
      </c>
      <c r="L18" s="195"/>
    </row>
    <row r="19" spans="1:12" customFormat="1" ht="47.25" customHeight="1" outlineLevel="1" x14ac:dyDescent="0.2">
      <c r="A19" s="215" t="s">
        <v>2177</v>
      </c>
      <c r="B19" s="70" t="s">
        <v>1210</v>
      </c>
      <c r="C19" s="107" t="s">
        <v>487</v>
      </c>
      <c r="D19" s="118">
        <f t="shared" si="0"/>
        <v>353.33333333333331</v>
      </c>
      <c r="E19" s="118">
        <f t="shared" si="1"/>
        <v>70.666666666666671</v>
      </c>
      <c r="F19" s="118">
        <f t="shared" si="4"/>
        <v>424</v>
      </c>
      <c r="G19" s="118">
        <f>375/1.2/1.15*1.2*1.2</f>
        <v>391.30434782608694</v>
      </c>
      <c r="H19" s="304">
        <f t="shared" si="2"/>
        <v>424.17391304347825</v>
      </c>
      <c r="I19" s="304">
        <f t="shared" si="3"/>
        <v>424</v>
      </c>
      <c r="J19" s="330">
        <v>0.15</v>
      </c>
      <c r="L19" s="195"/>
    </row>
    <row r="20" spans="1:12" s="84" customFormat="1" ht="15.75" customHeight="1" outlineLevel="1" x14ac:dyDescent="0.25">
      <c r="A20" s="215" t="s">
        <v>2178</v>
      </c>
      <c r="B20" s="70" t="s">
        <v>814</v>
      </c>
      <c r="C20" s="87" t="s">
        <v>487</v>
      </c>
      <c r="D20" s="118">
        <f t="shared" si="0"/>
        <v>375</v>
      </c>
      <c r="E20" s="118">
        <f t="shared" si="1"/>
        <v>75</v>
      </c>
      <c r="F20" s="118">
        <v>450</v>
      </c>
      <c r="G20" s="118">
        <v>374</v>
      </c>
      <c r="H20" s="304">
        <f t="shared" si="2"/>
        <v>405.41600000000005</v>
      </c>
      <c r="I20" s="304">
        <f t="shared" si="3"/>
        <v>405</v>
      </c>
      <c r="K20"/>
      <c r="L20" s="196"/>
    </row>
    <row r="21" spans="1:12" customFormat="1" ht="15.75" customHeight="1" outlineLevel="1" x14ac:dyDescent="0.2">
      <c r="A21" s="215" t="s">
        <v>2179</v>
      </c>
      <c r="B21" s="145" t="s">
        <v>1718</v>
      </c>
      <c r="C21" s="190" t="s">
        <v>487</v>
      </c>
      <c r="D21" s="118">
        <f t="shared" si="0"/>
        <v>187.5</v>
      </c>
      <c r="E21" s="118">
        <f t="shared" si="1"/>
        <v>37.5</v>
      </c>
      <c r="F21" s="118">
        <f>F20/2</f>
        <v>225</v>
      </c>
      <c r="G21" s="118">
        <v>207</v>
      </c>
      <c r="H21" s="304">
        <f t="shared" si="2"/>
        <v>224.38800000000001</v>
      </c>
      <c r="I21" s="304">
        <f t="shared" si="3"/>
        <v>224</v>
      </c>
      <c r="L21" s="195"/>
    </row>
    <row r="22" spans="1:12" customFormat="1" ht="15.75" customHeight="1" outlineLevel="1" x14ac:dyDescent="0.2">
      <c r="A22" s="215" t="s">
        <v>2180</v>
      </c>
      <c r="B22" s="70" t="s">
        <v>3113</v>
      </c>
      <c r="C22" s="107" t="s">
        <v>487</v>
      </c>
      <c r="D22" s="118">
        <f t="shared" si="0"/>
        <v>149.16666666666666</v>
      </c>
      <c r="E22" s="118">
        <f t="shared" si="1"/>
        <v>29.833333333333339</v>
      </c>
      <c r="F22" s="118">
        <f t="shared" si="4"/>
        <v>179</v>
      </c>
      <c r="G22" s="118">
        <f>160/1.2/1.16*1.2*1.2</f>
        <v>165.51724137931035</v>
      </c>
      <c r="H22" s="304">
        <f t="shared" si="2"/>
        <v>179.42068965517242</v>
      </c>
      <c r="I22" s="304">
        <f t="shared" si="3"/>
        <v>179</v>
      </c>
      <c r="J22" s="330">
        <v>0.16</v>
      </c>
      <c r="L22" s="195"/>
    </row>
    <row r="23" spans="1:12" customFormat="1" ht="15.75" customHeight="1" outlineLevel="1" x14ac:dyDescent="0.2">
      <c r="A23" s="215" t="s">
        <v>2181</v>
      </c>
      <c r="B23" s="70" t="s">
        <v>495</v>
      </c>
      <c r="C23" s="107" t="s">
        <v>487</v>
      </c>
      <c r="D23" s="118">
        <f t="shared" si="0"/>
        <v>38.333333333333329</v>
      </c>
      <c r="E23" s="118">
        <f t="shared" si="1"/>
        <v>7.6666666666666679</v>
      </c>
      <c r="F23" s="118">
        <f t="shared" si="4"/>
        <v>46</v>
      </c>
      <c r="G23" s="118">
        <f>31/1.2*1.15*1.2*1.2</f>
        <v>42.779999999999994</v>
      </c>
      <c r="H23" s="304">
        <f t="shared" si="2"/>
        <v>46.373519999999999</v>
      </c>
      <c r="I23" s="304">
        <f t="shared" si="3"/>
        <v>46</v>
      </c>
      <c r="J23" s="330">
        <v>-0.15</v>
      </c>
      <c r="L23" s="195"/>
    </row>
    <row r="24" spans="1:12" customFormat="1" ht="15.75" customHeight="1" outlineLevel="1" x14ac:dyDescent="0.2">
      <c r="A24" s="215" t="s">
        <v>2182</v>
      </c>
      <c r="B24" s="70" t="s">
        <v>496</v>
      </c>
      <c r="C24" s="107" t="s">
        <v>487</v>
      </c>
      <c r="D24" s="118">
        <f t="shared" si="0"/>
        <v>145.83333333333331</v>
      </c>
      <c r="E24" s="118">
        <f t="shared" si="1"/>
        <v>29.166666666666671</v>
      </c>
      <c r="F24" s="118">
        <f t="shared" si="4"/>
        <v>175</v>
      </c>
      <c r="G24" s="118">
        <f>156/1.2/1.16*1.2*1.2</f>
        <v>161.37931034482759</v>
      </c>
      <c r="H24" s="304">
        <f t="shared" si="2"/>
        <v>174.93517241379311</v>
      </c>
      <c r="I24" s="304">
        <f t="shared" si="3"/>
        <v>175</v>
      </c>
      <c r="J24" s="330">
        <v>0.16</v>
      </c>
      <c r="L24" s="195"/>
    </row>
    <row r="25" spans="1:12" s="84" customFormat="1" ht="15.75" customHeight="1" outlineLevel="1" x14ac:dyDescent="0.25">
      <c r="A25" s="215" t="s">
        <v>2183</v>
      </c>
      <c r="B25" s="70" t="s">
        <v>809</v>
      </c>
      <c r="C25" s="87" t="s">
        <v>810</v>
      </c>
      <c r="D25" s="118">
        <f t="shared" si="0"/>
        <v>504.16666666666663</v>
      </c>
      <c r="E25" s="118">
        <f t="shared" si="1"/>
        <v>100.83333333333334</v>
      </c>
      <c r="F25" s="118">
        <f t="shared" si="4"/>
        <v>605</v>
      </c>
      <c r="G25" s="118">
        <v>558</v>
      </c>
      <c r="H25" s="304">
        <f t="shared" si="2"/>
        <v>604.87200000000007</v>
      </c>
      <c r="I25" s="304">
        <f t="shared" si="3"/>
        <v>605</v>
      </c>
      <c r="L25" s="196"/>
    </row>
    <row r="26" spans="1:12" customFormat="1" ht="15.75" customHeight="1" outlineLevel="1" x14ac:dyDescent="0.2">
      <c r="A26" s="215" t="s">
        <v>2184</v>
      </c>
      <c r="B26" s="70" t="s">
        <v>497</v>
      </c>
      <c r="C26" s="107" t="s">
        <v>487</v>
      </c>
      <c r="D26" s="118">
        <f t="shared" si="0"/>
        <v>200</v>
      </c>
      <c r="E26" s="118">
        <f t="shared" si="1"/>
        <v>40</v>
      </c>
      <c r="F26" s="118">
        <f t="shared" si="4"/>
        <v>240</v>
      </c>
      <c r="G26" s="118">
        <v>221</v>
      </c>
      <c r="H26" s="304">
        <f t="shared" si="2"/>
        <v>239.56400000000002</v>
      </c>
      <c r="I26" s="304">
        <f t="shared" si="3"/>
        <v>240</v>
      </c>
      <c r="L26" s="195"/>
    </row>
    <row r="27" spans="1:12" customFormat="1" ht="31.5" customHeight="1" outlineLevel="1" x14ac:dyDescent="0.2">
      <c r="A27" s="215" t="s">
        <v>2185</v>
      </c>
      <c r="B27" s="70" t="s">
        <v>1517</v>
      </c>
      <c r="C27" s="107"/>
      <c r="D27" s="118"/>
      <c r="E27" s="118"/>
      <c r="F27" s="118"/>
      <c r="G27" s="118"/>
      <c r="H27" s="304">
        <f t="shared" si="2"/>
        <v>0</v>
      </c>
      <c r="I27" s="304">
        <f t="shared" si="3"/>
        <v>0</v>
      </c>
      <c r="J27" s="330">
        <v>0.06</v>
      </c>
      <c r="L27" s="195"/>
    </row>
    <row r="28" spans="1:12" customFormat="1" ht="15.75" customHeight="1" outlineLevel="2" x14ac:dyDescent="0.2">
      <c r="A28" s="214" t="s">
        <v>2231</v>
      </c>
      <c r="B28" s="70" t="s">
        <v>500</v>
      </c>
      <c r="C28" s="213"/>
      <c r="D28" s="118"/>
      <c r="E28" s="118"/>
      <c r="F28" s="118"/>
      <c r="G28" s="118"/>
      <c r="H28" s="304">
        <f t="shared" si="2"/>
        <v>0</v>
      </c>
      <c r="I28" s="304">
        <f t="shared" si="3"/>
        <v>0</v>
      </c>
      <c r="L28" s="195"/>
    </row>
    <row r="29" spans="1:12" customFormat="1" ht="15.75" customHeight="1" outlineLevel="3" x14ac:dyDescent="0.2">
      <c r="A29" s="214" t="s">
        <v>2245</v>
      </c>
      <c r="B29" s="265" t="s">
        <v>501</v>
      </c>
      <c r="C29" s="213" t="s">
        <v>499</v>
      </c>
      <c r="D29" s="118">
        <f t="shared" si="0"/>
        <v>245.83333333333331</v>
      </c>
      <c r="E29" s="118">
        <f t="shared" si="1"/>
        <v>49.166666666666671</v>
      </c>
      <c r="F29" s="118">
        <v>295</v>
      </c>
      <c r="G29" s="118">
        <f>228/1.2/1.06*1.2*1.2</f>
        <v>258.11320754716979</v>
      </c>
      <c r="H29" s="304">
        <f t="shared" si="2"/>
        <v>279.79471698113207</v>
      </c>
      <c r="I29" s="304">
        <f t="shared" si="3"/>
        <v>280</v>
      </c>
      <c r="L29" s="195"/>
    </row>
    <row r="30" spans="1:12" customFormat="1" ht="15.75" customHeight="1" outlineLevel="3" x14ac:dyDescent="0.2">
      <c r="A30" s="214" t="s">
        <v>2246</v>
      </c>
      <c r="B30" s="265" t="s">
        <v>502</v>
      </c>
      <c r="C30" s="213" t="s">
        <v>499</v>
      </c>
      <c r="D30" s="118">
        <f t="shared" si="0"/>
        <v>419.16666666666663</v>
      </c>
      <c r="E30" s="118">
        <f t="shared" si="1"/>
        <v>83.833333333333343</v>
      </c>
      <c r="F30" s="118">
        <v>503</v>
      </c>
      <c r="G30" s="118">
        <f>388/1.2/1.06*1.2*1.2</f>
        <v>439.24528301886801</v>
      </c>
      <c r="H30" s="304">
        <f t="shared" si="2"/>
        <v>476.14188679245296</v>
      </c>
      <c r="I30" s="304">
        <f t="shared" si="3"/>
        <v>476</v>
      </c>
      <c r="L30" s="195"/>
    </row>
    <row r="31" spans="1:12" customFormat="1" ht="15.75" customHeight="1" outlineLevel="3" x14ac:dyDescent="0.2">
      <c r="A31" s="214" t="s">
        <v>2247</v>
      </c>
      <c r="B31" s="265" t="s">
        <v>503</v>
      </c>
      <c r="C31" s="213" t="s">
        <v>499</v>
      </c>
      <c r="D31" s="118">
        <f t="shared" si="0"/>
        <v>589.16666666666663</v>
      </c>
      <c r="E31" s="118">
        <f t="shared" si="1"/>
        <v>117.83333333333336</v>
      </c>
      <c r="F31" s="118">
        <v>707</v>
      </c>
      <c r="G31" s="118">
        <f>545/1.2/1.06*1.2*1.2</f>
        <v>616.98113207547158</v>
      </c>
      <c r="H31" s="304">
        <f t="shared" si="2"/>
        <v>668.80754716981119</v>
      </c>
      <c r="I31" s="304">
        <f t="shared" si="3"/>
        <v>669</v>
      </c>
      <c r="L31" s="195"/>
    </row>
    <row r="32" spans="1:12" customFormat="1" ht="15.75" customHeight="1" outlineLevel="3" x14ac:dyDescent="0.2">
      <c r="A32" s="214" t="s">
        <v>2248</v>
      </c>
      <c r="B32" s="265" t="s">
        <v>504</v>
      </c>
      <c r="C32" s="213" t="s">
        <v>499</v>
      </c>
      <c r="D32" s="118">
        <f t="shared" si="0"/>
        <v>1114.1666666666665</v>
      </c>
      <c r="E32" s="118">
        <f t="shared" si="1"/>
        <v>222.83333333333337</v>
      </c>
      <c r="F32" s="118">
        <v>1337</v>
      </c>
      <c r="G32" s="118">
        <f>1024/1.2/1.06*1.2*1.2</f>
        <v>1159.2452830188679</v>
      </c>
      <c r="H32" s="304">
        <f t="shared" ref="H32:H77" si="5">G32*$H$8</f>
        <v>1256.6218867924529</v>
      </c>
      <c r="I32" s="304">
        <f t="shared" si="3"/>
        <v>1257</v>
      </c>
      <c r="L32" s="195"/>
    </row>
    <row r="33" spans="1:12" customFormat="1" ht="15.75" customHeight="1" outlineLevel="2" x14ac:dyDescent="0.2">
      <c r="A33" s="214" t="s">
        <v>2232</v>
      </c>
      <c r="B33" s="70" t="s">
        <v>505</v>
      </c>
      <c r="C33" s="213"/>
      <c r="D33" s="118"/>
      <c r="E33" s="118"/>
      <c r="F33" s="118"/>
      <c r="G33" s="118"/>
      <c r="H33" s="304">
        <f t="shared" si="5"/>
        <v>0</v>
      </c>
      <c r="I33" s="304">
        <f t="shared" si="3"/>
        <v>0</v>
      </c>
      <c r="L33" s="195"/>
    </row>
    <row r="34" spans="1:12" customFormat="1" ht="15.75" customHeight="1" outlineLevel="3" x14ac:dyDescent="0.2">
      <c r="A34" s="214" t="s">
        <v>2249</v>
      </c>
      <c r="B34" s="265" t="s">
        <v>501</v>
      </c>
      <c r="C34" s="212" t="s">
        <v>499</v>
      </c>
      <c r="D34" s="118">
        <f t="shared" si="0"/>
        <v>114.16666666666666</v>
      </c>
      <c r="E34" s="118">
        <f t="shared" si="1"/>
        <v>22.833333333333336</v>
      </c>
      <c r="F34" s="118">
        <f t="shared" si="4"/>
        <v>137</v>
      </c>
      <c r="G34" s="118">
        <f>112/1.2/1.06*1.2*1.2</f>
        <v>126.79245283018867</v>
      </c>
      <c r="H34" s="304">
        <f t="shared" si="5"/>
        <v>137.44301886792454</v>
      </c>
      <c r="I34" s="304">
        <f t="shared" si="3"/>
        <v>137</v>
      </c>
      <c r="L34" s="195"/>
    </row>
    <row r="35" spans="1:12" customFormat="1" ht="15.75" customHeight="1" outlineLevel="3" x14ac:dyDescent="0.2">
      <c r="A35" s="214" t="s">
        <v>2250</v>
      </c>
      <c r="B35" s="265" t="s">
        <v>502</v>
      </c>
      <c r="C35" s="212" t="s">
        <v>499</v>
      </c>
      <c r="D35" s="118">
        <f t="shared" si="0"/>
        <v>158.33333333333331</v>
      </c>
      <c r="E35" s="118">
        <f t="shared" si="1"/>
        <v>31.666666666666671</v>
      </c>
      <c r="F35" s="118">
        <f t="shared" si="4"/>
        <v>190</v>
      </c>
      <c r="G35" s="118">
        <f>155/1.2/1.06*1.2*1.2</f>
        <v>175.47169811320757</v>
      </c>
      <c r="H35" s="304">
        <f t="shared" si="5"/>
        <v>190.21132075471701</v>
      </c>
      <c r="I35" s="304">
        <f t="shared" si="3"/>
        <v>190</v>
      </c>
      <c r="L35" s="195"/>
    </row>
    <row r="36" spans="1:12" customFormat="1" ht="15.75" customHeight="1" outlineLevel="3" x14ac:dyDescent="0.2">
      <c r="A36" s="214" t="s">
        <v>2251</v>
      </c>
      <c r="B36" s="265" t="s">
        <v>503</v>
      </c>
      <c r="C36" s="212" t="s">
        <v>499</v>
      </c>
      <c r="D36" s="118">
        <f t="shared" si="0"/>
        <v>201.66666666666666</v>
      </c>
      <c r="E36" s="118">
        <f t="shared" si="1"/>
        <v>40.333333333333343</v>
      </c>
      <c r="F36" s="118">
        <f t="shared" si="4"/>
        <v>242</v>
      </c>
      <c r="G36" s="118">
        <f>197/1.2/1.06*1.2*1.2</f>
        <v>223.01886792452831</v>
      </c>
      <c r="H36" s="304">
        <f t="shared" si="5"/>
        <v>241.7524528301887</v>
      </c>
      <c r="I36" s="304">
        <f t="shared" si="3"/>
        <v>242</v>
      </c>
      <c r="L36" s="195"/>
    </row>
    <row r="37" spans="1:12" customFormat="1" ht="15.75" customHeight="1" outlineLevel="3" x14ac:dyDescent="0.2">
      <c r="A37" s="214" t="s">
        <v>2252</v>
      </c>
      <c r="B37" s="265" t="s">
        <v>506</v>
      </c>
      <c r="C37" s="212" t="s">
        <v>499</v>
      </c>
      <c r="D37" s="118">
        <f t="shared" si="0"/>
        <v>244.16666666666666</v>
      </c>
      <c r="E37" s="118">
        <f t="shared" si="1"/>
        <v>48.833333333333343</v>
      </c>
      <c r="F37" s="118">
        <f t="shared" si="4"/>
        <v>293</v>
      </c>
      <c r="G37" s="118">
        <f>239/1.2/1.06*1.2*1.2</f>
        <v>270.56603773584908</v>
      </c>
      <c r="H37" s="304">
        <f t="shared" si="5"/>
        <v>293.2935849056604</v>
      </c>
      <c r="I37" s="304">
        <f t="shared" si="3"/>
        <v>293</v>
      </c>
      <c r="L37" s="195"/>
    </row>
    <row r="38" spans="1:12" customFormat="1" ht="15.75" customHeight="1" outlineLevel="3" x14ac:dyDescent="0.2">
      <c r="A38" s="214" t="s">
        <v>2253</v>
      </c>
      <c r="B38" s="265" t="s">
        <v>507</v>
      </c>
      <c r="C38" s="212" t="s">
        <v>499</v>
      </c>
      <c r="D38" s="118">
        <f t="shared" si="0"/>
        <v>287.5</v>
      </c>
      <c r="E38" s="118">
        <f t="shared" si="1"/>
        <v>57.5</v>
      </c>
      <c r="F38" s="118">
        <f t="shared" si="4"/>
        <v>345</v>
      </c>
      <c r="G38" s="118">
        <f>281/1.2/1.06*1.2*1.2</f>
        <v>318.11320754716985</v>
      </c>
      <c r="H38" s="304">
        <f t="shared" si="5"/>
        <v>344.83471698113215</v>
      </c>
      <c r="I38" s="304">
        <f t="shared" si="3"/>
        <v>345</v>
      </c>
      <c r="L38" s="195"/>
    </row>
    <row r="39" spans="1:12" customFormat="1" ht="15.75" customHeight="1" outlineLevel="3" x14ac:dyDescent="0.2">
      <c r="A39" s="214" t="s">
        <v>2254</v>
      </c>
      <c r="B39" s="265" t="s">
        <v>508</v>
      </c>
      <c r="C39" s="212" t="s">
        <v>499</v>
      </c>
      <c r="D39" s="118">
        <f t="shared" si="0"/>
        <v>370.83333333333331</v>
      </c>
      <c r="E39" s="118">
        <f t="shared" si="1"/>
        <v>74.166666666666671</v>
      </c>
      <c r="F39" s="118">
        <f t="shared" si="4"/>
        <v>445</v>
      </c>
      <c r="G39" s="118">
        <f>323/1.2*1.06*1.2*1.2</f>
        <v>410.85600000000005</v>
      </c>
      <c r="H39" s="304">
        <f t="shared" si="5"/>
        <v>445.36790400000007</v>
      </c>
      <c r="I39" s="304">
        <f t="shared" si="3"/>
        <v>445</v>
      </c>
      <c r="L39" s="195"/>
    </row>
    <row r="40" spans="1:12" customFormat="1" ht="15.75" customHeight="1" outlineLevel="3" x14ac:dyDescent="0.2">
      <c r="A40" s="214" t="s">
        <v>2255</v>
      </c>
      <c r="B40" s="265" t="s">
        <v>509</v>
      </c>
      <c r="C40" s="212" t="s">
        <v>499</v>
      </c>
      <c r="D40" s="118">
        <f t="shared" si="0"/>
        <v>589.16666666666663</v>
      </c>
      <c r="E40" s="118">
        <f t="shared" si="1"/>
        <v>117.83333333333336</v>
      </c>
      <c r="F40" s="118">
        <f t="shared" si="4"/>
        <v>707</v>
      </c>
      <c r="G40" s="118">
        <f>576/1.2/1.06*1.2*1.2</f>
        <v>652.07547169811323</v>
      </c>
      <c r="H40" s="304">
        <f t="shared" si="5"/>
        <v>706.84981132075484</v>
      </c>
      <c r="I40" s="304">
        <f t="shared" si="3"/>
        <v>707</v>
      </c>
      <c r="L40" s="195"/>
    </row>
    <row r="41" spans="1:12" customFormat="1" ht="15.75" customHeight="1" outlineLevel="2" x14ac:dyDescent="0.2">
      <c r="A41" s="214" t="s">
        <v>2233</v>
      </c>
      <c r="B41" s="70" t="s">
        <v>510</v>
      </c>
      <c r="C41" s="213"/>
      <c r="D41" s="118"/>
      <c r="E41" s="118"/>
      <c r="F41" s="118"/>
      <c r="G41" s="118"/>
      <c r="H41" s="304">
        <f t="shared" si="5"/>
        <v>0</v>
      </c>
      <c r="I41" s="304">
        <f t="shared" si="3"/>
        <v>0</v>
      </c>
      <c r="L41" s="195"/>
    </row>
    <row r="42" spans="1:12" customFormat="1" ht="15.75" customHeight="1" outlineLevel="3" x14ac:dyDescent="0.2">
      <c r="A42" s="214" t="s">
        <v>2256</v>
      </c>
      <c r="B42" s="265" t="s">
        <v>501</v>
      </c>
      <c r="C42" s="213" t="s">
        <v>499</v>
      </c>
      <c r="D42" s="118">
        <f t="shared" si="0"/>
        <v>102.5</v>
      </c>
      <c r="E42" s="118">
        <f t="shared" si="1"/>
        <v>20.5</v>
      </c>
      <c r="F42" s="118">
        <f t="shared" si="4"/>
        <v>123</v>
      </c>
      <c r="G42" s="118">
        <f>100/1.2/1.06*1.2*1.2</f>
        <v>113.20754716981132</v>
      </c>
      <c r="H42" s="304">
        <f t="shared" si="5"/>
        <v>122.71698113207547</v>
      </c>
      <c r="I42" s="304">
        <f t="shared" si="3"/>
        <v>123</v>
      </c>
      <c r="L42" s="195"/>
    </row>
    <row r="43" spans="1:12" customFormat="1" ht="15.75" customHeight="1" outlineLevel="3" x14ac:dyDescent="0.2">
      <c r="A43" s="214" t="s">
        <v>2257</v>
      </c>
      <c r="B43" s="265" t="s">
        <v>502</v>
      </c>
      <c r="C43" s="213" t="s">
        <v>499</v>
      </c>
      <c r="D43" s="118">
        <f t="shared" si="0"/>
        <v>133.33333333333331</v>
      </c>
      <c r="E43" s="118">
        <f t="shared" si="1"/>
        <v>26.666666666666671</v>
      </c>
      <c r="F43" s="118">
        <f t="shared" si="4"/>
        <v>160</v>
      </c>
      <c r="G43" s="118">
        <f>130/1.2/1.06*1.2*1.2</f>
        <v>147.16981132075472</v>
      </c>
      <c r="H43" s="304">
        <f t="shared" si="5"/>
        <v>159.53207547169814</v>
      </c>
      <c r="I43" s="304">
        <f t="shared" si="3"/>
        <v>160</v>
      </c>
      <c r="L43" s="195"/>
    </row>
    <row r="44" spans="1:12" customFormat="1" ht="15.75" customHeight="1" outlineLevel="3" x14ac:dyDescent="0.2">
      <c r="A44" s="214" t="s">
        <v>2258</v>
      </c>
      <c r="B44" s="265" t="s">
        <v>503</v>
      </c>
      <c r="C44" s="213" t="s">
        <v>499</v>
      </c>
      <c r="D44" s="118">
        <f t="shared" si="0"/>
        <v>161.66666666666666</v>
      </c>
      <c r="E44" s="118">
        <f t="shared" si="1"/>
        <v>32.333333333333336</v>
      </c>
      <c r="F44" s="118">
        <f t="shared" si="4"/>
        <v>194</v>
      </c>
      <c r="G44" s="118">
        <f>158/1.2/1.06*1.2*1.2</f>
        <v>178.86792452830187</v>
      </c>
      <c r="H44" s="304">
        <f t="shared" si="5"/>
        <v>193.89283018867923</v>
      </c>
      <c r="I44" s="304">
        <f t="shared" si="3"/>
        <v>194</v>
      </c>
      <c r="L44" s="195"/>
    </row>
    <row r="45" spans="1:12" customFormat="1" ht="15.75" customHeight="1" outlineLevel="3" x14ac:dyDescent="0.2">
      <c r="A45" s="214" t="s">
        <v>2259</v>
      </c>
      <c r="B45" s="265" t="s">
        <v>506</v>
      </c>
      <c r="C45" s="213" t="s">
        <v>499</v>
      </c>
      <c r="D45" s="118">
        <f t="shared" si="0"/>
        <v>192.5</v>
      </c>
      <c r="E45" s="118">
        <f t="shared" si="1"/>
        <v>38.5</v>
      </c>
      <c r="F45" s="118">
        <f t="shared" si="4"/>
        <v>231</v>
      </c>
      <c r="G45" s="118">
        <f>188/1.2/1.06*1.2*1.2</f>
        <v>212.83018867924528</v>
      </c>
      <c r="H45" s="304">
        <f t="shared" si="5"/>
        <v>230.7079245283019</v>
      </c>
      <c r="I45" s="304">
        <f t="shared" si="3"/>
        <v>231</v>
      </c>
      <c r="L45" s="195"/>
    </row>
    <row r="46" spans="1:12" customFormat="1" ht="15.75" customHeight="1" outlineLevel="3" x14ac:dyDescent="0.2">
      <c r="A46" s="214" t="s">
        <v>2260</v>
      </c>
      <c r="B46" s="265" t="s">
        <v>507</v>
      </c>
      <c r="C46" s="213" t="s">
        <v>499</v>
      </c>
      <c r="D46" s="118">
        <f t="shared" si="0"/>
        <v>223.33333333333331</v>
      </c>
      <c r="E46" s="118">
        <f t="shared" si="1"/>
        <v>44.666666666666671</v>
      </c>
      <c r="F46" s="118">
        <f t="shared" si="4"/>
        <v>268</v>
      </c>
      <c r="G46" s="118">
        <f>218/1.2/1.06*1.2*1.2</f>
        <v>246.79245283018867</v>
      </c>
      <c r="H46" s="304">
        <f t="shared" si="5"/>
        <v>267.52301886792452</v>
      </c>
      <c r="I46" s="304">
        <f t="shared" si="3"/>
        <v>268</v>
      </c>
      <c r="L46" s="195"/>
    </row>
    <row r="47" spans="1:12" customFormat="1" ht="15.75" customHeight="1" outlineLevel="3" x14ac:dyDescent="0.2">
      <c r="A47" s="214" t="s">
        <v>2261</v>
      </c>
      <c r="B47" s="265" t="s">
        <v>508</v>
      </c>
      <c r="C47" s="213" t="s">
        <v>499</v>
      </c>
      <c r="D47" s="118">
        <f t="shared" si="0"/>
        <v>253.33333333333331</v>
      </c>
      <c r="E47" s="118">
        <f t="shared" si="1"/>
        <v>50.666666666666671</v>
      </c>
      <c r="F47" s="118">
        <f t="shared" si="4"/>
        <v>304</v>
      </c>
      <c r="G47" s="118">
        <f>248/1.2/1.06*1.2*1.2</f>
        <v>280.75471698113205</v>
      </c>
      <c r="H47" s="304">
        <f t="shared" si="5"/>
        <v>304.33811320754717</v>
      </c>
      <c r="I47" s="304">
        <f t="shared" si="3"/>
        <v>304</v>
      </c>
      <c r="L47" s="195"/>
    </row>
    <row r="48" spans="1:12" customFormat="1" ht="15.75" customHeight="1" outlineLevel="3" x14ac:dyDescent="0.2">
      <c r="A48" s="214" t="s">
        <v>2262</v>
      </c>
      <c r="B48" s="265" t="s">
        <v>509</v>
      </c>
      <c r="C48" s="213" t="s">
        <v>499</v>
      </c>
      <c r="D48" s="118">
        <f t="shared" si="0"/>
        <v>435</v>
      </c>
      <c r="E48" s="118">
        <f t="shared" si="1"/>
        <v>87</v>
      </c>
      <c r="F48" s="118">
        <f t="shared" si="4"/>
        <v>522</v>
      </c>
      <c r="G48" s="118">
        <f>425/1.2/1.06*1.2*1.2</f>
        <v>481.13207547169804</v>
      </c>
      <c r="H48" s="304">
        <f t="shared" si="5"/>
        <v>521.54716981132071</v>
      </c>
      <c r="I48" s="304">
        <f t="shared" si="3"/>
        <v>522</v>
      </c>
      <c r="L48" s="195"/>
    </row>
    <row r="49" spans="1:12" customFormat="1" ht="15.75" customHeight="1" outlineLevel="2" x14ac:dyDescent="0.2">
      <c r="A49" s="214" t="s">
        <v>2234</v>
      </c>
      <c r="B49" s="145" t="s">
        <v>511</v>
      </c>
      <c r="C49" s="213"/>
      <c r="D49" s="118"/>
      <c r="E49" s="118"/>
      <c r="F49" s="118"/>
      <c r="G49" s="118"/>
      <c r="H49" s="304">
        <f t="shared" si="5"/>
        <v>0</v>
      </c>
      <c r="I49" s="304">
        <f t="shared" si="3"/>
        <v>0</v>
      </c>
      <c r="L49" s="195"/>
    </row>
    <row r="50" spans="1:12" customFormat="1" ht="15.75" customHeight="1" outlineLevel="3" x14ac:dyDescent="0.2">
      <c r="A50" s="214" t="s">
        <v>2263</v>
      </c>
      <c r="B50" s="265" t="s">
        <v>501</v>
      </c>
      <c r="C50" s="213" t="s">
        <v>499</v>
      </c>
      <c r="D50" s="118">
        <f t="shared" si="0"/>
        <v>85.833333333333329</v>
      </c>
      <c r="E50" s="118">
        <f t="shared" si="1"/>
        <v>17.166666666666668</v>
      </c>
      <c r="F50" s="118">
        <f t="shared" si="4"/>
        <v>103</v>
      </c>
      <c r="G50" s="118">
        <f>84/1.2/1.06*1.2*1.2</f>
        <v>95.094339622641499</v>
      </c>
      <c r="H50" s="304">
        <f t="shared" si="5"/>
        <v>103.08226415094339</v>
      </c>
      <c r="I50" s="304">
        <f t="shared" si="3"/>
        <v>103</v>
      </c>
      <c r="L50" s="195"/>
    </row>
    <row r="51" spans="1:12" customFormat="1" ht="15.75" customHeight="1" outlineLevel="3" x14ac:dyDescent="0.2">
      <c r="A51" s="214" t="s">
        <v>2264</v>
      </c>
      <c r="B51" s="265" t="s">
        <v>502</v>
      </c>
      <c r="C51" s="213" t="s">
        <v>499</v>
      </c>
      <c r="D51" s="118">
        <f t="shared" si="0"/>
        <v>100.83333333333333</v>
      </c>
      <c r="E51" s="118">
        <f t="shared" si="1"/>
        <v>20.166666666666671</v>
      </c>
      <c r="F51" s="118">
        <f t="shared" si="4"/>
        <v>121</v>
      </c>
      <c r="G51" s="118">
        <f>99/1.2/1.06*1.2*1.2</f>
        <v>112.07547169811319</v>
      </c>
      <c r="H51" s="304">
        <f t="shared" si="5"/>
        <v>121.48981132075471</v>
      </c>
      <c r="I51" s="304">
        <f t="shared" si="3"/>
        <v>121</v>
      </c>
      <c r="L51" s="195"/>
    </row>
    <row r="52" spans="1:12" customFormat="1" ht="15.75" customHeight="1" outlineLevel="3" x14ac:dyDescent="0.2">
      <c r="A52" s="214" t="s">
        <v>2265</v>
      </c>
      <c r="B52" s="265" t="s">
        <v>503</v>
      </c>
      <c r="C52" s="213" t="s">
        <v>499</v>
      </c>
      <c r="D52" s="118">
        <f t="shared" si="0"/>
        <v>115.83333333333333</v>
      </c>
      <c r="E52" s="118">
        <f t="shared" si="1"/>
        <v>23.166666666666671</v>
      </c>
      <c r="F52" s="118">
        <f t="shared" si="4"/>
        <v>139</v>
      </c>
      <c r="G52" s="118">
        <f>113/1.2/1.06*1.2*1.2</f>
        <v>127.9245283018868</v>
      </c>
      <c r="H52" s="304">
        <f t="shared" si="5"/>
        <v>138.67018867924529</v>
      </c>
      <c r="I52" s="304">
        <f t="shared" si="3"/>
        <v>139</v>
      </c>
      <c r="L52" s="195"/>
    </row>
    <row r="53" spans="1:12" customFormat="1" ht="15.75" customHeight="1" outlineLevel="3" x14ac:dyDescent="0.2">
      <c r="A53" s="214" t="s">
        <v>2266</v>
      </c>
      <c r="B53" s="265" t="s">
        <v>506</v>
      </c>
      <c r="C53" s="213" t="s">
        <v>499</v>
      </c>
      <c r="D53" s="118">
        <f t="shared" si="0"/>
        <v>130.83333333333331</v>
      </c>
      <c r="E53" s="118">
        <f t="shared" si="1"/>
        <v>26.166666666666671</v>
      </c>
      <c r="F53" s="118">
        <f t="shared" si="4"/>
        <v>157</v>
      </c>
      <c r="G53" s="118">
        <f>128/1.2/1.06*1.2*1.2</f>
        <v>144.90566037735849</v>
      </c>
      <c r="H53" s="304">
        <f t="shared" si="5"/>
        <v>157.07773584905661</v>
      </c>
      <c r="I53" s="304">
        <f t="shared" si="3"/>
        <v>157</v>
      </c>
      <c r="L53" s="195"/>
    </row>
    <row r="54" spans="1:12" customFormat="1" ht="15.75" customHeight="1" outlineLevel="3" x14ac:dyDescent="0.2">
      <c r="A54" s="214" t="s">
        <v>2267</v>
      </c>
      <c r="B54" s="265" t="s">
        <v>507</v>
      </c>
      <c r="C54" s="213" t="s">
        <v>499</v>
      </c>
      <c r="D54" s="118">
        <f t="shared" si="0"/>
        <v>145</v>
      </c>
      <c r="E54" s="118">
        <f t="shared" si="1"/>
        <v>29</v>
      </c>
      <c r="F54" s="118">
        <f t="shared" si="4"/>
        <v>174</v>
      </c>
      <c r="G54" s="118">
        <f>142/1.2/1.06*1.2*1.2</f>
        <v>160.75471698113205</v>
      </c>
      <c r="H54" s="304">
        <f t="shared" si="5"/>
        <v>174.25811320754715</v>
      </c>
      <c r="I54" s="304">
        <f t="shared" si="3"/>
        <v>174</v>
      </c>
      <c r="L54" s="195"/>
    </row>
    <row r="55" spans="1:12" customFormat="1" ht="15.75" customHeight="1" outlineLevel="3" x14ac:dyDescent="0.2">
      <c r="A55" s="214" t="s">
        <v>2268</v>
      </c>
      <c r="B55" s="265" t="s">
        <v>508</v>
      </c>
      <c r="C55" s="213" t="s">
        <v>499</v>
      </c>
      <c r="D55" s="118">
        <f t="shared" si="0"/>
        <v>159.16666666666666</v>
      </c>
      <c r="E55" s="118">
        <f t="shared" si="1"/>
        <v>31.833333333333339</v>
      </c>
      <c r="F55" s="118">
        <f t="shared" si="4"/>
        <v>191</v>
      </c>
      <c r="G55" s="118">
        <f>156/1.2/1.06*1.2*1.2</f>
        <v>176.60377358490561</v>
      </c>
      <c r="H55" s="304">
        <f t="shared" si="5"/>
        <v>191.4384905660377</v>
      </c>
      <c r="I55" s="304">
        <f t="shared" si="3"/>
        <v>191</v>
      </c>
      <c r="L55" s="195"/>
    </row>
    <row r="56" spans="1:12" customFormat="1" ht="15.75" customHeight="1" outlineLevel="3" x14ac:dyDescent="0.2">
      <c r="A56" s="214" t="s">
        <v>2269</v>
      </c>
      <c r="B56" s="265" t="s">
        <v>509</v>
      </c>
      <c r="C56" s="213" t="s">
        <v>499</v>
      </c>
      <c r="D56" s="118">
        <f t="shared" si="0"/>
        <v>249.16666666666666</v>
      </c>
      <c r="E56" s="118">
        <f t="shared" si="1"/>
        <v>49.833333333333343</v>
      </c>
      <c r="F56" s="118">
        <f t="shared" si="4"/>
        <v>299</v>
      </c>
      <c r="G56" s="118">
        <f>244/1.2/1.06*1.2*1.2</f>
        <v>276.22641509433964</v>
      </c>
      <c r="H56" s="304">
        <f t="shared" si="5"/>
        <v>299.42943396226417</v>
      </c>
      <c r="I56" s="304">
        <f t="shared" si="3"/>
        <v>299</v>
      </c>
      <c r="L56" s="195"/>
    </row>
    <row r="57" spans="1:12" customFormat="1" ht="15.75" customHeight="1" outlineLevel="2" x14ac:dyDescent="0.2">
      <c r="A57" s="214" t="s">
        <v>2235</v>
      </c>
      <c r="B57" s="70" t="s">
        <v>1655</v>
      </c>
      <c r="C57" s="213"/>
      <c r="D57" s="118"/>
      <c r="E57" s="118"/>
      <c r="F57" s="118"/>
      <c r="G57" s="118"/>
      <c r="H57" s="304">
        <f t="shared" si="5"/>
        <v>0</v>
      </c>
      <c r="I57" s="304">
        <f t="shared" si="3"/>
        <v>0</v>
      </c>
      <c r="L57" s="195"/>
    </row>
    <row r="58" spans="1:12" customFormat="1" ht="15.75" customHeight="1" outlineLevel="3" x14ac:dyDescent="0.2">
      <c r="A58" s="214" t="s">
        <v>2270</v>
      </c>
      <c r="B58" s="265" t="s">
        <v>501</v>
      </c>
      <c r="C58" s="213" t="s">
        <v>499</v>
      </c>
      <c r="D58" s="118">
        <f t="shared" si="0"/>
        <v>85</v>
      </c>
      <c r="E58" s="118">
        <f t="shared" si="1"/>
        <v>17</v>
      </c>
      <c r="F58" s="118">
        <f t="shared" si="4"/>
        <v>102</v>
      </c>
      <c r="G58" s="118">
        <f>83/1.2/1.06*1.2*1.2</f>
        <v>93.962264150943398</v>
      </c>
      <c r="H58" s="304">
        <f t="shared" si="5"/>
        <v>101.85509433962265</v>
      </c>
      <c r="I58" s="304">
        <f t="shared" si="3"/>
        <v>102</v>
      </c>
      <c r="L58" s="195"/>
    </row>
    <row r="59" spans="1:12" customFormat="1" ht="15.75" customHeight="1" outlineLevel="3" x14ac:dyDescent="0.2">
      <c r="A59" s="214" t="s">
        <v>2271</v>
      </c>
      <c r="B59" s="265" t="s">
        <v>502</v>
      </c>
      <c r="C59" s="213" t="s">
        <v>499</v>
      </c>
      <c r="D59" s="118">
        <f t="shared" si="0"/>
        <v>100.83333333333333</v>
      </c>
      <c r="E59" s="118">
        <f t="shared" si="1"/>
        <v>20.166666666666671</v>
      </c>
      <c r="F59" s="118">
        <f t="shared" si="4"/>
        <v>121</v>
      </c>
      <c r="G59" s="118">
        <f>99/1.2/1.06*1.2*1.2</f>
        <v>112.07547169811319</v>
      </c>
      <c r="H59" s="304">
        <f t="shared" si="5"/>
        <v>121.48981132075471</v>
      </c>
      <c r="I59" s="304">
        <f t="shared" si="3"/>
        <v>121</v>
      </c>
      <c r="L59" s="195"/>
    </row>
    <row r="60" spans="1:12" customFormat="1" ht="15.75" customHeight="1" outlineLevel="3" x14ac:dyDescent="0.2">
      <c r="A60" s="214" t="s">
        <v>2272</v>
      </c>
      <c r="B60" s="265" t="s">
        <v>503</v>
      </c>
      <c r="C60" s="213" t="s">
        <v>499</v>
      </c>
      <c r="D60" s="118">
        <f t="shared" si="0"/>
        <v>114.16666666666666</v>
      </c>
      <c r="E60" s="118">
        <f t="shared" si="1"/>
        <v>22.833333333333336</v>
      </c>
      <c r="F60" s="118">
        <f t="shared" si="4"/>
        <v>137</v>
      </c>
      <c r="G60" s="118">
        <f>112/1.2/1.06*1.2*1.2</f>
        <v>126.79245283018867</v>
      </c>
      <c r="H60" s="304">
        <f t="shared" si="5"/>
        <v>137.44301886792454</v>
      </c>
      <c r="I60" s="304">
        <f t="shared" si="3"/>
        <v>137</v>
      </c>
      <c r="L60" s="195"/>
    </row>
    <row r="61" spans="1:12" customFormat="1" ht="15.75" customHeight="1" outlineLevel="3" x14ac:dyDescent="0.2">
      <c r="A61" s="214" t="s">
        <v>2273</v>
      </c>
      <c r="B61" s="265" t="s">
        <v>506</v>
      </c>
      <c r="C61" s="213" t="s">
        <v>499</v>
      </c>
      <c r="D61" s="118">
        <f t="shared" si="0"/>
        <v>130</v>
      </c>
      <c r="E61" s="118">
        <f t="shared" si="1"/>
        <v>26</v>
      </c>
      <c r="F61" s="118">
        <f t="shared" si="4"/>
        <v>156</v>
      </c>
      <c r="G61" s="118">
        <f>127/1.2/1.06*1.2*1.2</f>
        <v>143.77358490566036</v>
      </c>
      <c r="H61" s="304">
        <f t="shared" si="5"/>
        <v>155.85056603773583</v>
      </c>
      <c r="I61" s="304">
        <f t="shared" si="3"/>
        <v>156</v>
      </c>
      <c r="L61" s="195"/>
    </row>
    <row r="62" spans="1:12" customFormat="1" ht="15.75" customHeight="1" outlineLevel="3" x14ac:dyDescent="0.2">
      <c r="A62" s="214" t="s">
        <v>2274</v>
      </c>
      <c r="B62" s="265" t="s">
        <v>513</v>
      </c>
      <c r="C62" s="213" t="s">
        <v>499</v>
      </c>
      <c r="D62" s="118">
        <f t="shared" si="0"/>
        <v>158.33333333333331</v>
      </c>
      <c r="E62" s="118">
        <f t="shared" si="1"/>
        <v>31.666666666666671</v>
      </c>
      <c r="F62" s="118">
        <f t="shared" si="4"/>
        <v>190</v>
      </c>
      <c r="G62" s="118">
        <f>155/1.06*1.2</f>
        <v>175.47169811320754</v>
      </c>
      <c r="H62" s="304">
        <f t="shared" si="5"/>
        <v>190.21132075471698</v>
      </c>
      <c r="I62" s="304">
        <f t="shared" si="3"/>
        <v>190</v>
      </c>
      <c r="L62" s="195"/>
    </row>
    <row r="63" spans="1:12" customFormat="1" ht="15.75" customHeight="1" outlineLevel="3" x14ac:dyDescent="0.2">
      <c r="A63" s="214" t="s">
        <v>2275</v>
      </c>
      <c r="B63" s="265" t="s">
        <v>509</v>
      </c>
      <c r="C63" s="213" t="s">
        <v>499</v>
      </c>
      <c r="D63" s="118">
        <f t="shared" si="0"/>
        <v>245.83333333333331</v>
      </c>
      <c r="E63" s="118">
        <f t="shared" si="1"/>
        <v>49.166666666666671</v>
      </c>
      <c r="F63" s="118">
        <f t="shared" si="4"/>
        <v>295</v>
      </c>
      <c r="G63" s="118">
        <f>240/1.06*1.2</f>
        <v>271.69811320754718</v>
      </c>
      <c r="H63" s="304">
        <f t="shared" si="5"/>
        <v>294.52075471698117</v>
      </c>
      <c r="I63" s="304">
        <f t="shared" si="3"/>
        <v>295</v>
      </c>
      <c r="L63" s="195"/>
    </row>
    <row r="64" spans="1:12" customFormat="1" ht="15.75" customHeight="1" outlineLevel="2" x14ac:dyDescent="0.2">
      <c r="A64" s="214" t="s">
        <v>2236</v>
      </c>
      <c r="B64" s="70" t="s">
        <v>514</v>
      </c>
      <c r="C64" s="213"/>
      <c r="D64" s="118"/>
      <c r="E64" s="118"/>
      <c r="F64" s="118"/>
      <c r="G64" s="118"/>
      <c r="H64" s="304">
        <f t="shared" si="5"/>
        <v>0</v>
      </c>
      <c r="I64" s="304">
        <f t="shared" si="3"/>
        <v>0</v>
      </c>
      <c r="L64" s="195"/>
    </row>
    <row r="65" spans="1:12" customFormat="1" ht="15.75" customHeight="1" outlineLevel="3" x14ac:dyDescent="0.2">
      <c r="A65" s="214" t="s">
        <v>2276</v>
      </c>
      <c r="B65" s="265" t="s">
        <v>515</v>
      </c>
      <c r="C65" s="212" t="s">
        <v>499</v>
      </c>
      <c r="D65" s="118">
        <f t="shared" si="0"/>
        <v>95.833333333333329</v>
      </c>
      <c r="E65" s="118">
        <f t="shared" si="1"/>
        <v>19.166666666666668</v>
      </c>
      <c r="F65" s="118">
        <f t="shared" si="4"/>
        <v>115</v>
      </c>
      <c r="G65" s="118">
        <f>94/1.06*1.2</f>
        <v>106.41509433962263</v>
      </c>
      <c r="H65" s="304">
        <f t="shared" si="5"/>
        <v>115.35396226415094</v>
      </c>
      <c r="I65" s="304">
        <f t="shared" si="3"/>
        <v>115</v>
      </c>
      <c r="L65" s="195"/>
    </row>
    <row r="66" spans="1:12" customFormat="1" ht="15.75" customHeight="1" outlineLevel="3" x14ac:dyDescent="0.2">
      <c r="A66" s="214" t="s">
        <v>2277</v>
      </c>
      <c r="B66" s="265" t="s">
        <v>516</v>
      </c>
      <c r="C66" s="212" t="s">
        <v>499</v>
      </c>
      <c r="D66" s="118">
        <f t="shared" si="0"/>
        <v>127.5</v>
      </c>
      <c r="E66" s="118">
        <f t="shared" si="1"/>
        <v>25.5</v>
      </c>
      <c r="F66" s="118">
        <f t="shared" si="4"/>
        <v>153</v>
      </c>
      <c r="G66" s="118">
        <f>125/1.06*1.2</f>
        <v>141.50943396226413</v>
      </c>
      <c r="H66" s="304">
        <f t="shared" si="5"/>
        <v>153.39622641509433</v>
      </c>
      <c r="I66" s="304">
        <f t="shared" si="3"/>
        <v>153</v>
      </c>
      <c r="L66" s="195"/>
    </row>
    <row r="67" spans="1:12" customFormat="1" ht="15.75" customHeight="1" outlineLevel="3" x14ac:dyDescent="0.2">
      <c r="A67" s="214" t="s">
        <v>2278</v>
      </c>
      <c r="B67" s="265" t="s">
        <v>517</v>
      </c>
      <c r="C67" s="212" t="s">
        <v>499</v>
      </c>
      <c r="D67" s="118">
        <f t="shared" si="0"/>
        <v>256.66666666666663</v>
      </c>
      <c r="E67" s="118">
        <f t="shared" si="1"/>
        <v>51.333333333333343</v>
      </c>
      <c r="F67" s="118">
        <f t="shared" si="4"/>
        <v>308</v>
      </c>
      <c r="G67" s="118">
        <f>251/1.06*1.2</f>
        <v>284.15094339622641</v>
      </c>
      <c r="H67" s="304">
        <f t="shared" si="5"/>
        <v>308.01962264150944</v>
      </c>
      <c r="I67" s="304">
        <f t="shared" si="3"/>
        <v>308</v>
      </c>
      <c r="L67" s="195"/>
    </row>
    <row r="68" spans="1:12" customFormat="1" ht="15.75" customHeight="1" outlineLevel="3" x14ac:dyDescent="0.2">
      <c r="A68" s="214" t="s">
        <v>2279</v>
      </c>
      <c r="B68" s="265" t="s">
        <v>518</v>
      </c>
      <c r="C68" s="212" t="s">
        <v>499</v>
      </c>
      <c r="D68" s="118">
        <f t="shared" si="0"/>
        <v>320</v>
      </c>
      <c r="E68" s="118">
        <f t="shared" si="1"/>
        <v>64</v>
      </c>
      <c r="F68" s="118">
        <f t="shared" si="4"/>
        <v>384</v>
      </c>
      <c r="G68" s="118">
        <f>313/1.06*1.2</f>
        <v>354.33962264150938</v>
      </c>
      <c r="H68" s="304">
        <f t="shared" si="5"/>
        <v>384.10415094339618</v>
      </c>
      <c r="I68" s="304">
        <f t="shared" si="3"/>
        <v>384</v>
      </c>
      <c r="L68" s="195"/>
    </row>
    <row r="69" spans="1:12" customFormat="1" ht="15.75" customHeight="1" outlineLevel="2" x14ac:dyDescent="0.2">
      <c r="A69" s="214" t="s">
        <v>2237</v>
      </c>
      <c r="B69" s="145" t="s">
        <v>1518</v>
      </c>
      <c r="C69" s="213"/>
      <c r="D69" s="118"/>
      <c r="E69" s="118"/>
      <c r="F69" s="118"/>
      <c r="G69" s="118"/>
      <c r="H69" s="304">
        <f t="shared" si="5"/>
        <v>0</v>
      </c>
      <c r="I69" s="304">
        <f t="shared" si="3"/>
        <v>0</v>
      </c>
      <c r="L69" s="195"/>
    </row>
    <row r="70" spans="1:12" customFormat="1" ht="15.75" customHeight="1" outlineLevel="3" x14ac:dyDescent="0.2">
      <c r="A70" s="214" t="s">
        <v>2280</v>
      </c>
      <c r="B70" s="265" t="s">
        <v>1519</v>
      </c>
      <c r="C70" s="213" t="s">
        <v>499</v>
      </c>
      <c r="D70" s="118">
        <f t="shared" si="0"/>
        <v>175</v>
      </c>
      <c r="E70" s="118">
        <f t="shared" si="1"/>
        <v>35</v>
      </c>
      <c r="F70" s="118">
        <f t="shared" si="4"/>
        <v>210</v>
      </c>
      <c r="G70" s="118">
        <f>171/1.06*1.2</f>
        <v>193.58490566037736</v>
      </c>
      <c r="H70" s="304">
        <f t="shared" si="5"/>
        <v>209.84603773584908</v>
      </c>
      <c r="I70" s="304">
        <f t="shared" si="3"/>
        <v>210</v>
      </c>
      <c r="L70" s="195"/>
    </row>
    <row r="71" spans="1:12" customFormat="1" ht="15.75" customHeight="1" outlineLevel="3" x14ac:dyDescent="0.2">
      <c r="A71" s="214" t="s">
        <v>2281</v>
      </c>
      <c r="B71" s="265" t="s">
        <v>1520</v>
      </c>
      <c r="C71" s="213" t="s">
        <v>499</v>
      </c>
      <c r="D71" s="118">
        <f t="shared" si="0"/>
        <v>274.16666666666663</v>
      </c>
      <c r="E71" s="118">
        <f t="shared" si="1"/>
        <v>54.833333333333343</v>
      </c>
      <c r="F71" s="118">
        <f t="shared" si="4"/>
        <v>329</v>
      </c>
      <c r="G71" s="118">
        <f>268/1.06*1.2</f>
        <v>303.3962264150943</v>
      </c>
      <c r="H71" s="304">
        <f t="shared" si="5"/>
        <v>328.88150943396226</v>
      </c>
      <c r="I71" s="304">
        <f t="shared" si="3"/>
        <v>329</v>
      </c>
      <c r="L71" s="195"/>
    </row>
    <row r="72" spans="1:12" customFormat="1" ht="15.75" customHeight="1" outlineLevel="3" x14ac:dyDescent="0.2">
      <c r="A72" s="214" t="s">
        <v>2282</v>
      </c>
      <c r="B72" s="265" t="s">
        <v>1521</v>
      </c>
      <c r="C72" s="213" t="s">
        <v>499</v>
      </c>
      <c r="D72" s="118">
        <f t="shared" si="0"/>
        <v>473.33333333333331</v>
      </c>
      <c r="E72" s="118">
        <f t="shared" si="1"/>
        <v>94.666666666666686</v>
      </c>
      <c r="F72" s="118">
        <f t="shared" si="4"/>
        <v>568</v>
      </c>
      <c r="G72" s="118">
        <f>463/1.06*1.2</f>
        <v>524.15094339622635</v>
      </c>
      <c r="H72" s="304">
        <f t="shared" si="5"/>
        <v>568.17962264150935</v>
      </c>
      <c r="I72" s="304">
        <f t="shared" si="3"/>
        <v>568</v>
      </c>
      <c r="L72" s="195"/>
    </row>
    <row r="73" spans="1:12" customFormat="1" ht="15.75" customHeight="1" outlineLevel="2" x14ac:dyDescent="0.2">
      <c r="A73" s="214" t="s">
        <v>2238</v>
      </c>
      <c r="B73" s="145" t="s">
        <v>1596</v>
      </c>
      <c r="C73" s="213" t="s">
        <v>499</v>
      </c>
      <c r="D73" s="118">
        <f t="shared" si="0"/>
        <v>522.5</v>
      </c>
      <c r="E73" s="118">
        <f t="shared" si="1"/>
        <v>104.5</v>
      </c>
      <c r="F73" s="118">
        <f t="shared" si="4"/>
        <v>627</v>
      </c>
      <c r="G73" s="118">
        <f>511/1.06*1.2</f>
        <v>578.49056603773579</v>
      </c>
      <c r="H73" s="304">
        <f t="shared" si="5"/>
        <v>627.08377358490566</v>
      </c>
      <c r="I73" s="304">
        <f t="shared" si="3"/>
        <v>627</v>
      </c>
      <c r="L73" s="195"/>
    </row>
    <row r="74" spans="1:12" customFormat="1" ht="15.75" customHeight="1" outlineLevel="2" x14ac:dyDescent="0.2">
      <c r="A74" s="214" t="s">
        <v>2239</v>
      </c>
      <c r="B74" s="145" t="s">
        <v>1608</v>
      </c>
      <c r="C74" s="213" t="s">
        <v>499</v>
      </c>
      <c r="D74" s="118">
        <f t="shared" si="0"/>
        <v>742.5</v>
      </c>
      <c r="E74" s="118">
        <f t="shared" si="1"/>
        <v>148.5</v>
      </c>
      <c r="F74" s="118">
        <f t="shared" si="4"/>
        <v>891</v>
      </c>
      <c r="G74" s="118">
        <f>726/1.06*1.2</f>
        <v>821.88679245283015</v>
      </c>
      <c r="H74" s="304">
        <f t="shared" si="5"/>
        <v>890.92528301886796</v>
      </c>
      <c r="I74" s="304">
        <f t="shared" si="3"/>
        <v>891</v>
      </c>
      <c r="L74" s="195"/>
    </row>
    <row r="75" spans="1:12" customFormat="1" ht="15.75" customHeight="1" outlineLevel="2" x14ac:dyDescent="0.2">
      <c r="A75" s="214" t="s">
        <v>2240</v>
      </c>
      <c r="B75" s="145" t="s">
        <v>1646</v>
      </c>
      <c r="C75" s="213" t="s">
        <v>499</v>
      </c>
      <c r="D75" s="118">
        <f t="shared" si="0"/>
        <v>302.5</v>
      </c>
      <c r="E75" s="118">
        <f t="shared" si="1"/>
        <v>60.5</v>
      </c>
      <c r="F75" s="118">
        <f t="shared" si="4"/>
        <v>363</v>
      </c>
      <c r="G75" s="118">
        <f>296/1.06*1.2</f>
        <v>335.09433962264148</v>
      </c>
      <c r="H75" s="304">
        <f t="shared" si="5"/>
        <v>363.24226415094341</v>
      </c>
      <c r="I75" s="304">
        <f t="shared" si="3"/>
        <v>363</v>
      </c>
      <c r="L75" s="195"/>
    </row>
    <row r="76" spans="1:12" customFormat="1" ht="15.75" customHeight="1" outlineLevel="2" x14ac:dyDescent="0.2">
      <c r="A76" s="214" t="s">
        <v>2241</v>
      </c>
      <c r="B76" s="145" t="s">
        <v>1647</v>
      </c>
      <c r="C76" s="213"/>
      <c r="D76" s="118"/>
      <c r="E76" s="118"/>
      <c r="F76" s="118"/>
      <c r="G76" s="118"/>
      <c r="H76" s="304">
        <f t="shared" si="5"/>
        <v>0</v>
      </c>
      <c r="I76" s="304">
        <f t="shared" si="3"/>
        <v>0</v>
      </c>
      <c r="L76" s="195"/>
    </row>
    <row r="77" spans="1:12" customFormat="1" ht="15.75" customHeight="1" outlineLevel="3" x14ac:dyDescent="0.2">
      <c r="A77" s="214" t="s">
        <v>2283</v>
      </c>
      <c r="B77" s="265" t="s">
        <v>1648</v>
      </c>
      <c r="C77" s="213" t="s">
        <v>499</v>
      </c>
      <c r="D77" s="118">
        <f t="shared" si="0"/>
        <v>193.33333333333331</v>
      </c>
      <c r="E77" s="118">
        <f t="shared" si="1"/>
        <v>38.666666666666671</v>
      </c>
      <c r="F77" s="118">
        <f t="shared" si="4"/>
        <v>232</v>
      </c>
      <c r="G77" s="118">
        <f>189/1.06*1.2</f>
        <v>213.96226415094338</v>
      </c>
      <c r="H77" s="304">
        <f t="shared" si="5"/>
        <v>231.93509433962265</v>
      </c>
      <c r="I77" s="304">
        <f t="shared" si="3"/>
        <v>232</v>
      </c>
      <c r="L77" s="195"/>
    </row>
    <row r="78" spans="1:12" customFormat="1" ht="15.75" customHeight="1" outlineLevel="3" x14ac:dyDescent="0.2">
      <c r="A78" s="214" t="s">
        <v>2284</v>
      </c>
      <c r="B78" s="265" t="s">
        <v>1649</v>
      </c>
      <c r="C78" s="213" t="s">
        <v>499</v>
      </c>
      <c r="D78" s="118">
        <f t="shared" ref="D78:D146" si="6">F78-E78</f>
        <v>229.16666666666666</v>
      </c>
      <c r="E78" s="118">
        <f t="shared" ref="E78:E146" si="7">F78/1.2*0.2</f>
        <v>45.833333333333343</v>
      </c>
      <c r="F78" s="118">
        <f t="shared" ref="F78:F146" si="8">I78</f>
        <v>275</v>
      </c>
      <c r="G78" s="118">
        <f>224/1.06*1.2</f>
        <v>253.58490566037733</v>
      </c>
      <c r="H78" s="304">
        <f t="shared" ref="H78:H146" si="9">G78*$H$8</f>
        <v>274.88603773584907</v>
      </c>
      <c r="I78" s="304">
        <f t="shared" ref="I78:I146" si="10">ROUND(H78,0)</f>
        <v>275</v>
      </c>
      <c r="L78" s="195"/>
    </row>
    <row r="79" spans="1:12" customFormat="1" ht="15.75" customHeight="1" outlineLevel="3" x14ac:dyDescent="0.2">
      <c r="A79" s="214" t="s">
        <v>2285</v>
      </c>
      <c r="B79" s="265" t="s">
        <v>513</v>
      </c>
      <c r="C79" s="213" t="s">
        <v>499</v>
      </c>
      <c r="D79" s="118">
        <f t="shared" si="6"/>
        <v>265</v>
      </c>
      <c r="E79" s="118">
        <f t="shared" si="7"/>
        <v>53</v>
      </c>
      <c r="F79" s="118">
        <f t="shared" si="8"/>
        <v>318</v>
      </c>
      <c r="G79" s="118">
        <f>259/1.06*1.2</f>
        <v>293.20754716981128</v>
      </c>
      <c r="H79" s="304">
        <f t="shared" si="9"/>
        <v>317.83698113207544</v>
      </c>
      <c r="I79" s="304">
        <f t="shared" si="10"/>
        <v>318</v>
      </c>
      <c r="L79" s="195"/>
    </row>
    <row r="80" spans="1:12" customFormat="1" ht="15.75" customHeight="1" outlineLevel="3" x14ac:dyDescent="0.2">
      <c r="A80" s="214" t="s">
        <v>2286</v>
      </c>
      <c r="B80" s="265" t="s">
        <v>1650</v>
      </c>
      <c r="C80" s="213" t="s">
        <v>499</v>
      </c>
      <c r="D80" s="118">
        <f t="shared" si="6"/>
        <v>301.66666666666663</v>
      </c>
      <c r="E80" s="118">
        <f t="shared" si="7"/>
        <v>60.333333333333343</v>
      </c>
      <c r="F80" s="118">
        <f t="shared" si="8"/>
        <v>362</v>
      </c>
      <c r="G80" s="118">
        <f>295/1.06*1.2</f>
        <v>333.96226415094338</v>
      </c>
      <c r="H80" s="304">
        <f t="shared" si="9"/>
        <v>362.01509433962264</v>
      </c>
      <c r="I80" s="304">
        <f t="shared" si="10"/>
        <v>362</v>
      </c>
      <c r="L80" s="195"/>
    </row>
    <row r="81" spans="1:12" customFormat="1" ht="15.75" customHeight="1" outlineLevel="3" x14ac:dyDescent="0.2">
      <c r="A81" s="214" t="s">
        <v>2287</v>
      </c>
      <c r="B81" s="265" t="s">
        <v>1651</v>
      </c>
      <c r="C81" s="213" t="s">
        <v>499</v>
      </c>
      <c r="D81" s="118">
        <f t="shared" si="6"/>
        <v>337.5</v>
      </c>
      <c r="E81" s="118">
        <f t="shared" si="7"/>
        <v>67.5</v>
      </c>
      <c r="F81" s="118">
        <f t="shared" si="8"/>
        <v>405</v>
      </c>
      <c r="G81" s="118">
        <f>330/1.06*1.2</f>
        <v>373.58490566037733</v>
      </c>
      <c r="H81" s="304">
        <f t="shared" si="9"/>
        <v>404.96603773584906</v>
      </c>
      <c r="I81" s="304">
        <f t="shared" si="10"/>
        <v>405</v>
      </c>
      <c r="L81" s="195"/>
    </row>
    <row r="82" spans="1:12" customFormat="1" ht="15.75" customHeight="1" outlineLevel="3" x14ac:dyDescent="0.2">
      <c r="A82" s="214" t="s">
        <v>2288</v>
      </c>
      <c r="B82" s="265" t="s">
        <v>1652</v>
      </c>
      <c r="C82" s="213" t="s">
        <v>499</v>
      </c>
      <c r="D82" s="118">
        <f t="shared" si="6"/>
        <v>373.33333333333331</v>
      </c>
      <c r="E82" s="118">
        <f t="shared" si="7"/>
        <v>74.666666666666671</v>
      </c>
      <c r="F82" s="118">
        <f t="shared" si="8"/>
        <v>448</v>
      </c>
      <c r="G82" s="118">
        <f>365/1.06*1.2</f>
        <v>413.20754716981133</v>
      </c>
      <c r="H82" s="304">
        <f t="shared" si="9"/>
        <v>447.91698113207553</v>
      </c>
      <c r="I82" s="304">
        <f t="shared" si="10"/>
        <v>448</v>
      </c>
      <c r="L82" s="195"/>
    </row>
    <row r="83" spans="1:12" customFormat="1" ht="15.75" customHeight="1" outlineLevel="2" x14ac:dyDescent="0.2">
      <c r="A83" s="214" t="s">
        <v>2242</v>
      </c>
      <c r="B83" s="145" t="s">
        <v>1666</v>
      </c>
      <c r="C83" s="213"/>
      <c r="D83" s="118"/>
      <c r="E83" s="118"/>
      <c r="F83" s="118"/>
      <c r="G83" s="118"/>
      <c r="H83" s="304">
        <f t="shared" si="9"/>
        <v>0</v>
      </c>
      <c r="I83" s="304">
        <f t="shared" si="10"/>
        <v>0</v>
      </c>
      <c r="L83" s="195"/>
    </row>
    <row r="84" spans="1:12" customFormat="1" ht="15.75" customHeight="1" outlineLevel="3" x14ac:dyDescent="0.2">
      <c r="A84" s="214" t="s">
        <v>2289</v>
      </c>
      <c r="B84" s="265" t="s">
        <v>501</v>
      </c>
      <c r="C84" s="213" t="s">
        <v>499</v>
      </c>
      <c r="D84" s="118">
        <f t="shared" si="6"/>
        <v>190.83333333333331</v>
      </c>
      <c r="E84" s="118">
        <f t="shared" si="7"/>
        <v>38.166666666666671</v>
      </c>
      <c r="F84" s="118">
        <f t="shared" si="8"/>
        <v>229</v>
      </c>
      <c r="G84" s="118">
        <f>187/1.06*1.2</f>
        <v>211.69811320754715</v>
      </c>
      <c r="H84" s="304">
        <f t="shared" si="9"/>
        <v>229.48075471698112</v>
      </c>
      <c r="I84" s="304">
        <f t="shared" si="10"/>
        <v>229</v>
      </c>
      <c r="L84" s="195"/>
    </row>
    <row r="85" spans="1:12" customFormat="1" ht="15.75" customHeight="1" outlineLevel="3" x14ac:dyDescent="0.2">
      <c r="A85" s="214" t="s">
        <v>2290</v>
      </c>
      <c r="B85" s="265" t="s">
        <v>1667</v>
      </c>
      <c r="C85" s="213" t="s">
        <v>499</v>
      </c>
      <c r="D85" s="118">
        <f t="shared" si="6"/>
        <v>206.66666666666666</v>
      </c>
      <c r="E85" s="118">
        <f t="shared" si="7"/>
        <v>41.333333333333343</v>
      </c>
      <c r="F85" s="118">
        <f t="shared" si="8"/>
        <v>248</v>
      </c>
      <c r="G85" s="118">
        <f>202/1.06*1.2</f>
        <v>228.67924528301884</v>
      </c>
      <c r="H85" s="304">
        <f t="shared" si="9"/>
        <v>247.88830188679245</v>
      </c>
      <c r="I85" s="304">
        <f t="shared" si="10"/>
        <v>248</v>
      </c>
      <c r="L85" s="195"/>
    </row>
    <row r="86" spans="1:12" customFormat="1" ht="15.75" customHeight="1" outlineLevel="3" x14ac:dyDescent="0.2">
      <c r="A86" s="214" t="s">
        <v>2291</v>
      </c>
      <c r="B86" s="265" t="s">
        <v>1668</v>
      </c>
      <c r="C86" s="213" t="s">
        <v>499</v>
      </c>
      <c r="D86" s="118">
        <f t="shared" si="6"/>
        <v>223.33333333333331</v>
      </c>
      <c r="E86" s="118">
        <f t="shared" si="7"/>
        <v>44.666666666666671</v>
      </c>
      <c r="F86" s="118">
        <f t="shared" si="8"/>
        <v>268</v>
      </c>
      <c r="G86" s="118">
        <f>218/1.06*1.2</f>
        <v>246.79245283018867</v>
      </c>
      <c r="H86" s="304">
        <f t="shared" si="9"/>
        <v>267.52301886792452</v>
      </c>
      <c r="I86" s="304">
        <f t="shared" si="10"/>
        <v>268</v>
      </c>
      <c r="L86" s="195"/>
    </row>
    <row r="87" spans="1:12" customFormat="1" ht="15.75" customHeight="1" outlineLevel="2" x14ac:dyDescent="0.2">
      <c r="A87" s="214" t="s">
        <v>2243</v>
      </c>
      <c r="B87" s="145" t="s">
        <v>1669</v>
      </c>
      <c r="C87" s="213"/>
      <c r="D87" s="118"/>
      <c r="E87" s="118"/>
      <c r="F87" s="118"/>
      <c r="G87" s="118"/>
      <c r="H87" s="304">
        <f t="shared" si="9"/>
        <v>0</v>
      </c>
      <c r="I87" s="304">
        <f t="shared" si="10"/>
        <v>0</v>
      </c>
      <c r="L87" s="195"/>
    </row>
    <row r="88" spans="1:12" customFormat="1" ht="15.75" customHeight="1" outlineLevel="3" x14ac:dyDescent="0.2">
      <c r="A88" s="214" t="s">
        <v>2292</v>
      </c>
      <c r="B88" s="265" t="s">
        <v>1648</v>
      </c>
      <c r="C88" s="212" t="s">
        <v>499</v>
      </c>
      <c r="D88" s="118">
        <f t="shared" si="6"/>
        <v>530.83333333333326</v>
      </c>
      <c r="E88" s="118">
        <f t="shared" si="7"/>
        <v>106.16666666666669</v>
      </c>
      <c r="F88" s="118">
        <f t="shared" si="8"/>
        <v>637</v>
      </c>
      <c r="G88" s="118">
        <f>519/1.06*1.2</f>
        <v>587.54716981132071</v>
      </c>
      <c r="H88" s="304">
        <f t="shared" si="9"/>
        <v>636.90113207547165</v>
      </c>
      <c r="I88" s="304">
        <f t="shared" si="10"/>
        <v>637</v>
      </c>
      <c r="L88" s="195"/>
    </row>
    <row r="89" spans="1:12" customFormat="1" ht="15.75" customHeight="1" outlineLevel="3" x14ac:dyDescent="0.2">
      <c r="A89" s="214" t="s">
        <v>2293</v>
      </c>
      <c r="B89" s="265" t="s">
        <v>1649</v>
      </c>
      <c r="C89" s="212" t="s">
        <v>499</v>
      </c>
      <c r="D89" s="118">
        <f t="shared" si="6"/>
        <v>470.83333333333331</v>
      </c>
      <c r="E89" s="118">
        <f t="shared" si="7"/>
        <v>94.166666666666686</v>
      </c>
      <c r="F89" s="118">
        <f t="shared" si="8"/>
        <v>565</v>
      </c>
      <c r="G89" s="118">
        <v>521</v>
      </c>
      <c r="H89" s="304">
        <f t="shared" si="9"/>
        <v>564.76400000000001</v>
      </c>
      <c r="I89" s="304">
        <f t="shared" si="10"/>
        <v>565</v>
      </c>
      <c r="L89" s="195"/>
    </row>
    <row r="90" spans="1:12" customFormat="1" ht="15.75" customHeight="1" outlineLevel="3" x14ac:dyDescent="0.2">
      <c r="A90" s="214" t="s">
        <v>2294</v>
      </c>
      <c r="B90" s="265" t="s">
        <v>1668</v>
      </c>
      <c r="C90" s="212" t="s">
        <v>499</v>
      </c>
      <c r="D90" s="118">
        <f t="shared" si="6"/>
        <v>562.5</v>
      </c>
      <c r="E90" s="118">
        <f t="shared" si="7"/>
        <v>112.5</v>
      </c>
      <c r="F90" s="118">
        <f t="shared" si="8"/>
        <v>675</v>
      </c>
      <c r="G90" s="118">
        <f>550/1.06*1.2</f>
        <v>622.64150943396214</v>
      </c>
      <c r="H90" s="304">
        <f t="shared" si="9"/>
        <v>674.94339622641496</v>
      </c>
      <c r="I90" s="304">
        <f t="shared" si="10"/>
        <v>675</v>
      </c>
      <c r="L90" s="195"/>
    </row>
    <row r="91" spans="1:12" customFormat="1" ht="15.75" customHeight="1" outlineLevel="2" x14ac:dyDescent="0.2">
      <c r="A91" s="214" t="s">
        <v>2244</v>
      </c>
      <c r="B91" s="145" t="s">
        <v>1712</v>
      </c>
      <c r="C91" s="213"/>
      <c r="D91" s="118"/>
      <c r="E91" s="118"/>
      <c r="F91" s="118"/>
      <c r="G91" s="118"/>
      <c r="H91" s="304">
        <f t="shared" si="9"/>
        <v>0</v>
      </c>
      <c r="I91" s="304">
        <f t="shared" si="10"/>
        <v>0</v>
      </c>
      <c r="L91" s="195"/>
    </row>
    <row r="92" spans="1:12" customFormat="1" ht="15.75" customHeight="1" outlineLevel="3" x14ac:dyDescent="0.2">
      <c r="A92" s="214" t="s">
        <v>2295</v>
      </c>
      <c r="B92" s="265" t="s">
        <v>1713</v>
      </c>
      <c r="C92" s="212" t="s">
        <v>499</v>
      </c>
      <c r="D92" s="118">
        <f t="shared" si="6"/>
        <v>620.83333333333326</v>
      </c>
      <c r="E92" s="118">
        <f t="shared" si="7"/>
        <v>124.16666666666669</v>
      </c>
      <c r="F92" s="118">
        <f t="shared" si="8"/>
        <v>745</v>
      </c>
      <c r="G92" s="118">
        <f>607/1.06*1.2</f>
        <v>687.16981132075466</v>
      </c>
      <c r="H92" s="304">
        <f t="shared" si="9"/>
        <v>744.89207547169815</v>
      </c>
      <c r="I92" s="304">
        <f t="shared" si="10"/>
        <v>745</v>
      </c>
      <c r="L92" s="195"/>
    </row>
    <row r="93" spans="1:12" customFormat="1" ht="15.75" customHeight="1" outlineLevel="3" x14ac:dyDescent="0.2">
      <c r="A93" s="214" t="s">
        <v>2296</v>
      </c>
      <c r="B93" s="265" t="s">
        <v>1714</v>
      </c>
      <c r="C93" s="212" t="s">
        <v>499</v>
      </c>
      <c r="D93" s="118">
        <f t="shared" si="6"/>
        <v>1119.1666666666665</v>
      </c>
      <c r="E93" s="118">
        <f t="shared" si="7"/>
        <v>223.83333333333337</v>
      </c>
      <c r="F93" s="118">
        <f t="shared" si="8"/>
        <v>1343</v>
      </c>
      <c r="G93" s="123">
        <f>1094/1.06*1.2</f>
        <v>1238.4905660377358</v>
      </c>
      <c r="H93" s="304">
        <f t="shared" si="9"/>
        <v>1342.5237735849057</v>
      </c>
      <c r="I93" s="304">
        <f t="shared" si="10"/>
        <v>1343</v>
      </c>
      <c r="L93" s="195"/>
    </row>
    <row r="94" spans="1:12" customFormat="1" ht="15.75" customHeight="1" outlineLevel="3" x14ac:dyDescent="0.2">
      <c r="A94" s="214" t="s">
        <v>2297</v>
      </c>
      <c r="B94" s="265" t="s">
        <v>1715</v>
      </c>
      <c r="C94" s="212" t="s">
        <v>499</v>
      </c>
      <c r="D94" s="118">
        <f t="shared" si="6"/>
        <v>1623.3333333333333</v>
      </c>
      <c r="E94" s="118">
        <f t="shared" si="7"/>
        <v>324.66666666666674</v>
      </c>
      <c r="F94" s="118">
        <f t="shared" si="8"/>
        <v>1948</v>
      </c>
      <c r="G94" s="123">
        <f>1587/1.06*1.2</f>
        <v>1796.6037735849056</v>
      </c>
      <c r="H94" s="304">
        <f t="shared" si="9"/>
        <v>1947.5184905660378</v>
      </c>
      <c r="I94" s="304">
        <f t="shared" si="10"/>
        <v>1948</v>
      </c>
      <c r="L94" s="195"/>
    </row>
    <row r="95" spans="1:12" customFormat="1" ht="15.75" customHeight="1" outlineLevel="3" x14ac:dyDescent="0.2">
      <c r="A95" s="214" t="s">
        <v>2298</v>
      </c>
      <c r="B95" s="265" t="s">
        <v>1716</v>
      </c>
      <c r="C95" s="212" t="s">
        <v>499</v>
      </c>
      <c r="D95" s="118">
        <f t="shared" si="6"/>
        <v>2120.833333333333</v>
      </c>
      <c r="E95" s="118">
        <f t="shared" si="7"/>
        <v>424.16666666666674</v>
      </c>
      <c r="F95" s="118">
        <f t="shared" si="8"/>
        <v>2545</v>
      </c>
      <c r="G95" s="123">
        <f>2074/1.06*1.2</f>
        <v>2347.9245283018868</v>
      </c>
      <c r="H95" s="304">
        <f t="shared" si="9"/>
        <v>2545.1501886792453</v>
      </c>
      <c r="I95" s="304">
        <f t="shared" si="10"/>
        <v>2545</v>
      </c>
      <c r="L95" s="195"/>
    </row>
    <row r="96" spans="1:12" customFormat="1" ht="15.75" customHeight="1" outlineLevel="3" x14ac:dyDescent="0.2">
      <c r="A96" s="214" t="s">
        <v>2299</v>
      </c>
      <c r="B96" s="265" t="s">
        <v>1717</v>
      </c>
      <c r="C96" s="212" t="s">
        <v>499</v>
      </c>
      <c r="D96" s="118">
        <f t="shared" si="6"/>
        <v>3001.6666666666665</v>
      </c>
      <c r="E96" s="118">
        <f t="shared" si="7"/>
        <v>600.33333333333337</v>
      </c>
      <c r="F96" s="118">
        <f t="shared" si="8"/>
        <v>3602</v>
      </c>
      <c r="G96" s="123">
        <f>2935/1.06*1.2</f>
        <v>3322.6415094339623</v>
      </c>
      <c r="H96" s="304">
        <f t="shared" si="9"/>
        <v>3601.7433962264154</v>
      </c>
      <c r="I96" s="304">
        <f t="shared" si="10"/>
        <v>3602</v>
      </c>
      <c r="L96" s="195"/>
    </row>
    <row r="97" spans="1:12" customFormat="1" ht="15.75" customHeight="1" outlineLevel="2" x14ac:dyDescent="0.2">
      <c r="A97" s="214" t="s">
        <v>2300</v>
      </c>
      <c r="B97" s="145" t="s">
        <v>1734</v>
      </c>
      <c r="C97" s="212" t="s">
        <v>499</v>
      </c>
      <c r="D97" s="118">
        <f t="shared" si="6"/>
        <v>466.66666666666663</v>
      </c>
      <c r="E97" s="118">
        <f t="shared" si="7"/>
        <v>93.333333333333343</v>
      </c>
      <c r="F97" s="118">
        <f t="shared" si="8"/>
        <v>560</v>
      </c>
      <c r="G97" s="123">
        <f>456/1.06*1.2</f>
        <v>516.22641509433959</v>
      </c>
      <c r="H97" s="304">
        <f t="shared" si="9"/>
        <v>559.58943396226414</v>
      </c>
      <c r="I97" s="304">
        <f t="shared" si="10"/>
        <v>560</v>
      </c>
      <c r="L97" s="195"/>
    </row>
    <row r="98" spans="1:12" customFormat="1" ht="15.75" customHeight="1" outlineLevel="2" x14ac:dyDescent="0.2">
      <c r="A98" s="214" t="s">
        <v>3070</v>
      </c>
      <c r="B98" s="145" t="s">
        <v>3071</v>
      </c>
      <c r="C98" s="229" t="s">
        <v>3072</v>
      </c>
      <c r="D98" s="118">
        <f t="shared" si="6"/>
        <v>153.33333333333331</v>
      </c>
      <c r="E98" s="118">
        <f t="shared" si="7"/>
        <v>30.666666666666671</v>
      </c>
      <c r="F98" s="118">
        <f t="shared" si="8"/>
        <v>184</v>
      </c>
      <c r="G98" s="123">
        <f>150/1.06*1.2</f>
        <v>169.81132075471697</v>
      </c>
      <c r="H98" s="304">
        <f t="shared" si="9"/>
        <v>184.0754716981132</v>
      </c>
      <c r="I98" s="304">
        <f t="shared" si="10"/>
        <v>184</v>
      </c>
      <c r="L98" s="195"/>
    </row>
    <row r="99" spans="1:12" customFormat="1" ht="15.75" customHeight="1" outlineLevel="2" x14ac:dyDescent="0.2">
      <c r="A99" s="214" t="s">
        <v>3118</v>
      </c>
      <c r="B99" s="145" t="s">
        <v>3125</v>
      </c>
      <c r="C99" s="232"/>
      <c r="D99" s="118"/>
      <c r="E99" s="118"/>
      <c r="F99" s="118"/>
      <c r="G99" s="123"/>
      <c r="H99" s="304">
        <f t="shared" si="9"/>
        <v>0</v>
      </c>
      <c r="I99" s="304">
        <f t="shared" si="10"/>
        <v>0</v>
      </c>
      <c r="L99" s="195"/>
    </row>
    <row r="100" spans="1:12" customFormat="1" ht="15.75" customHeight="1" outlineLevel="3" x14ac:dyDescent="0.2">
      <c r="A100" s="214" t="s">
        <v>3119</v>
      </c>
      <c r="B100" s="265" t="s">
        <v>1648</v>
      </c>
      <c r="C100" s="232" t="s">
        <v>499</v>
      </c>
      <c r="D100" s="118">
        <f t="shared" si="6"/>
        <v>158.33333333333331</v>
      </c>
      <c r="E100" s="118">
        <f t="shared" si="7"/>
        <v>31.666666666666671</v>
      </c>
      <c r="F100" s="118">
        <f t="shared" si="8"/>
        <v>190</v>
      </c>
      <c r="G100" s="123">
        <f>155/1.06*1.2</f>
        <v>175.47169811320754</v>
      </c>
      <c r="H100" s="304">
        <f t="shared" si="9"/>
        <v>190.21132075471698</v>
      </c>
      <c r="I100" s="304">
        <f t="shared" si="10"/>
        <v>190</v>
      </c>
      <c r="L100" s="195"/>
    </row>
    <row r="101" spans="1:12" customFormat="1" ht="15.75" customHeight="1" outlineLevel="3" x14ac:dyDescent="0.2">
      <c r="A101" s="214" t="s">
        <v>3120</v>
      </c>
      <c r="B101" s="265" t="s">
        <v>1649</v>
      </c>
      <c r="C101" s="232" t="s">
        <v>499</v>
      </c>
      <c r="D101" s="118">
        <f t="shared" si="6"/>
        <v>179.16666666666666</v>
      </c>
      <c r="E101" s="118">
        <f t="shared" si="7"/>
        <v>35.833333333333336</v>
      </c>
      <c r="F101" s="118">
        <f t="shared" si="8"/>
        <v>215</v>
      </c>
      <c r="G101" s="123">
        <f>175/1.06*1.2</f>
        <v>198.11320754716982</v>
      </c>
      <c r="H101" s="304">
        <f t="shared" si="9"/>
        <v>214.75471698113211</v>
      </c>
      <c r="I101" s="304">
        <f t="shared" si="10"/>
        <v>215</v>
      </c>
      <c r="L101" s="195"/>
    </row>
    <row r="102" spans="1:12" customFormat="1" ht="15.75" customHeight="1" outlineLevel="3" x14ac:dyDescent="0.2">
      <c r="A102" s="214" t="s">
        <v>3121</v>
      </c>
      <c r="B102" s="265" t="s">
        <v>513</v>
      </c>
      <c r="C102" s="232" t="s">
        <v>499</v>
      </c>
      <c r="D102" s="118">
        <f t="shared" si="6"/>
        <v>189.16666666666666</v>
      </c>
      <c r="E102" s="118">
        <f t="shared" si="7"/>
        <v>37.833333333333336</v>
      </c>
      <c r="F102" s="118">
        <f t="shared" si="8"/>
        <v>227</v>
      </c>
      <c r="G102" s="123">
        <f>185/1.06*1.2</f>
        <v>209.43396226415092</v>
      </c>
      <c r="H102" s="304">
        <f t="shared" si="9"/>
        <v>227.02641509433963</v>
      </c>
      <c r="I102" s="304">
        <f t="shared" si="10"/>
        <v>227</v>
      </c>
      <c r="L102" s="195"/>
    </row>
    <row r="103" spans="1:12" customFormat="1" ht="15.75" customHeight="1" outlineLevel="3" x14ac:dyDescent="0.2">
      <c r="A103" s="214" t="s">
        <v>3122</v>
      </c>
      <c r="B103" s="265" t="s">
        <v>1650</v>
      </c>
      <c r="C103" s="232" t="s">
        <v>499</v>
      </c>
      <c r="D103" s="118">
        <f t="shared" si="6"/>
        <v>199.16666666666666</v>
      </c>
      <c r="E103" s="118">
        <f t="shared" si="7"/>
        <v>39.833333333333343</v>
      </c>
      <c r="F103" s="118">
        <f t="shared" si="8"/>
        <v>239</v>
      </c>
      <c r="G103" s="123">
        <f>195/1.06*1.2</f>
        <v>220.75471698113205</v>
      </c>
      <c r="H103" s="304">
        <f t="shared" si="9"/>
        <v>239.29811320754715</v>
      </c>
      <c r="I103" s="304">
        <f t="shared" si="10"/>
        <v>239</v>
      </c>
      <c r="L103" s="195"/>
    </row>
    <row r="104" spans="1:12" customFormat="1" ht="15.75" customHeight="1" outlineLevel="3" x14ac:dyDescent="0.2">
      <c r="A104" s="214" t="s">
        <v>3123</v>
      </c>
      <c r="B104" s="265" t="s">
        <v>1651</v>
      </c>
      <c r="C104" s="232" t="s">
        <v>499</v>
      </c>
      <c r="D104" s="118">
        <f t="shared" si="6"/>
        <v>210</v>
      </c>
      <c r="E104" s="118">
        <f t="shared" si="7"/>
        <v>42</v>
      </c>
      <c r="F104" s="118">
        <f t="shared" si="8"/>
        <v>252</v>
      </c>
      <c r="G104" s="123">
        <f>205/1.06*1.2</f>
        <v>232.07547169811318</v>
      </c>
      <c r="H104" s="304">
        <f t="shared" si="9"/>
        <v>251.5698113207547</v>
      </c>
      <c r="I104" s="304">
        <f t="shared" si="10"/>
        <v>252</v>
      </c>
      <c r="L104" s="195"/>
    </row>
    <row r="105" spans="1:12" customFormat="1" ht="15.75" customHeight="1" outlineLevel="3" x14ac:dyDescent="0.2">
      <c r="A105" s="214" t="s">
        <v>3124</v>
      </c>
      <c r="B105" s="265" t="s">
        <v>3126</v>
      </c>
      <c r="C105" s="232" t="s">
        <v>499</v>
      </c>
      <c r="D105" s="118">
        <f t="shared" si="6"/>
        <v>220</v>
      </c>
      <c r="E105" s="118">
        <f t="shared" si="7"/>
        <v>44</v>
      </c>
      <c r="F105" s="118">
        <f t="shared" si="8"/>
        <v>264</v>
      </c>
      <c r="G105" s="123">
        <f>215/1.06*1.2</f>
        <v>243.39622641509433</v>
      </c>
      <c r="H105" s="304">
        <f t="shared" si="9"/>
        <v>263.8415094339623</v>
      </c>
      <c r="I105" s="304">
        <f t="shared" si="10"/>
        <v>264</v>
      </c>
      <c r="L105" s="195"/>
    </row>
    <row r="106" spans="1:12" customFormat="1" ht="33" customHeight="1" outlineLevel="2" x14ac:dyDescent="0.2">
      <c r="A106" s="214" t="s">
        <v>3214</v>
      </c>
      <c r="B106" s="145" t="s">
        <v>3215</v>
      </c>
      <c r="C106" s="264"/>
      <c r="D106" s="118"/>
      <c r="E106" s="118"/>
      <c r="F106" s="118"/>
      <c r="G106" s="123"/>
      <c r="H106" s="304">
        <f t="shared" si="9"/>
        <v>0</v>
      </c>
      <c r="I106" s="304">
        <f t="shared" si="10"/>
        <v>0</v>
      </c>
      <c r="L106" s="195"/>
    </row>
    <row r="107" spans="1:12" customFormat="1" ht="15.75" customHeight="1" outlineLevel="3" x14ac:dyDescent="0.2">
      <c r="A107" s="214" t="s">
        <v>3211</v>
      </c>
      <c r="B107" s="265" t="s">
        <v>3216</v>
      </c>
      <c r="C107" s="264" t="s">
        <v>499</v>
      </c>
      <c r="D107" s="118">
        <f t="shared" si="6"/>
        <v>85.833333333333329</v>
      </c>
      <c r="E107" s="118">
        <f t="shared" si="7"/>
        <v>17.166666666666668</v>
      </c>
      <c r="F107" s="118">
        <f t="shared" si="8"/>
        <v>103</v>
      </c>
      <c r="G107" s="123">
        <v>95</v>
      </c>
      <c r="H107" s="304">
        <f t="shared" si="9"/>
        <v>102.98</v>
      </c>
      <c r="I107" s="304">
        <f t="shared" si="10"/>
        <v>103</v>
      </c>
      <c r="J107" t="s">
        <v>3219</v>
      </c>
      <c r="L107" s="195"/>
    </row>
    <row r="108" spans="1:12" customFormat="1" ht="15.75" customHeight="1" outlineLevel="3" x14ac:dyDescent="0.2">
      <c r="A108" s="214" t="s">
        <v>3212</v>
      </c>
      <c r="B108" s="265" t="s">
        <v>3217</v>
      </c>
      <c r="C108" s="264" t="s">
        <v>499</v>
      </c>
      <c r="D108" s="118">
        <f t="shared" si="6"/>
        <v>104.16666666666666</v>
      </c>
      <c r="E108" s="118">
        <f t="shared" si="7"/>
        <v>20.833333333333336</v>
      </c>
      <c r="F108" s="118">
        <f t="shared" si="8"/>
        <v>125</v>
      </c>
      <c r="G108" s="123">
        <v>115</v>
      </c>
      <c r="H108" s="304">
        <f t="shared" si="9"/>
        <v>124.66000000000001</v>
      </c>
      <c r="I108" s="304">
        <f t="shared" si="10"/>
        <v>125</v>
      </c>
      <c r="L108" s="195"/>
    </row>
    <row r="109" spans="1:12" customFormat="1" ht="15.75" customHeight="1" outlineLevel="3" x14ac:dyDescent="0.2">
      <c r="A109" s="214" t="s">
        <v>3213</v>
      </c>
      <c r="B109" s="265" t="s">
        <v>3218</v>
      </c>
      <c r="C109" s="264" t="s">
        <v>499</v>
      </c>
      <c r="D109" s="118">
        <f t="shared" si="6"/>
        <v>126.66666666666666</v>
      </c>
      <c r="E109" s="118">
        <f t="shared" si="7"/>
        <v>25.333333333333336</v>
      </c>
      <c r="F109" s="118">
        <f t="shared" si="8"/>
        <v>152</v>
      </c>
      <c r="G109" s="123">
        <v>140</v>
      </c>
      <c r="H109" s="304">
        <f t="shared" si="9"/>
        <v>151.76000000000002</v>
      </c>
      <c r="I109" s="304">
        <f t="shared" si="10"/>
        <v>152</v>
      </c>
      <c r="L109" s="195"/>
    </row>
    <row r="110" spans="1:12" customFormat="1" ht="32.25" customHeight="1" outlineLevel="3" x14ac:dyDescent="0.2">
      <c r="A110" s="214" t="s">
        <v>3791</v>
      </c>
      <c r="B110" s="145" t="s">
        <v>3794</v>
      </c>
      <c r="C110" s="378" t="s">
        <v>499</v>
      </c>
      <c r="D110" s="118">
        <f t="shared" si="6"/>
        <v>166.66666666666666</v>
      </c>
      <c r="E110" s="118">
        <f t="shared" si="7"/>
        <v>33.333333333333336</v>
      </c>
      <c r="F110" s="118">
        <v>200</v>
      </c>
      <c r="G110" s="123"/>
      <c r="H110" s="304"/>
      <c r="I110" s="304"/>
      <c r="L110" s="195"/>
    </row>
    <row r="111" spans="1:12" customFormat="1" ht="51" customHeight="1" outlineLevel="3" x14ac:dyDescent="0.2">
      <c r="A111" s="214" t="s">
        <v>3792</v>
      </c>
      <c r="B111" s="145" t="s">
        <v>3793</v>
      </c>
      <c r="C111" s="378" t="s">
        <v>499</v>
      </c>
      <c r="D111" s="118">
        <f t="shared" si="6"/>
        <v>79.166666666666657</v>
      </c>
      <c r="E111" s="118">
        <f t="shared" si="7"/>
        <v>15.833333333333336</v>
      </c>
      <c r="F111" s="118">
        <v>95</v>
      </c>
      <c r="G111" s="123"/>
      <c r="H111" s="304"/>
      <c r="I111" s="304"/>
      <c r="L111" s="195"/>
    </row>
    <row r="112" spans="1:12" customFormat="1" ht="15.75" customHeight="1" outlineLevel="1" x14ac:dyDescent="0.25">
      <c r="A112" s="215" t="s">
        <v>2186</v>
      </c>
      <c r="B112" s="145" t="s">
        <v>519</v>
      </c>
      <c r="C112" s="107"/>
      <c r="D112" s="118"/>
      <c r="E112" s="118"/>
      <c r="F112" s="118"/>
      <c r="G112" s="118"/>
      <c r="H112" s="304">
        <f t="shared" si="9"/>
        <v>0</v>
      </c>
      <c r="I112" s="304">
        <f t="shared" si="10"/>
        <v>0</v>
      </c>
      <c r="J112" t="s">
        <v>3247</v>
      </c>
      <c r="K112" s="1"/>
      <c r="L112" s="195"/>
    </row>
    <row r="113" spans="1:12" customFormat="1" ht="15.75" customHeight="1" outlineLevel="4" x14ac:dyDescent="0.2">
      <c r="A113" s="214" t="s">
        <v>2301</v>
      </c>
      <c r="B113" s="70" t="s">
        <v>521</v>
      </c>
      <c r="C113" s="212" t="s">
        <v>499</v>
      </c>
      <c r="D113" s="118">
        <f t="shared" si="6"/>
        <v>489.16666666666663</v>
      </c>
      <c r="E113" s="118">
        <f t="shared" si="7"/>
        <v>97.833333333333343</v>
      </c>
      <c r="F113" s="118">
        <f t="shared" si="8"/>
        <v>587</v>
      </c>
      <c r="G113" s="118">
        <f>469/1.2/1.04*1.2*1.2</f>
        <v>541.15384615384619</v>
      </c>
      <c r="H113" s="304">
        <f t="shared" si="9"/>
        <v>586.61076923076928</v>
      </c>
      <c r="I113" s="304">
        <f t="shared" si="10"/>
        <v>587</v>
      </c>
      <c r="J113" s="330">
        <v>0.04</v>
      </c>
      <c r="L113" s="195"/>
    </row>
    <row r="114" spans="1:12" customFormat="1" ht="15.75" customHeight="1" outlineLevel="4" x14ac:dyDescent="0.2">
      <c r="A114" s="214" t="s">
        <v>2302</v>
      </c>
      <c r="B114" s="70" t="s">
        <v>522</v>
      </c>
      <c r="C114" s="212" t="s">
        <v>499</v>
      </c>
      <c r="D114" s="118">
        <f t="shared" si="6"/>
        <v>706.66666666666663</v>
      </c>
      <c r="E114" s="118">
        <f t="shared" si="7"/>
        <v>141.33333333333334</v>
      </c>
      <c r="F114" s="118">
        <f t="shared" si="8"/>
        <v>848</v>
      </c>
      <c r="G114" s="118">
        <v>782</v>
      </c>
      <c r="H114" s="304">
        <f t="shared" si="9"/>
        <v>847.6880000000001</v>
      </c>
      <c r="I114" s="304">
        <f t="shared" si="10"/>
        <v>848</v>
      </c>
      <c r="J114" s="330">
        <v>0.24</v>
      </c>
      <c r="L114" s="195"/>
    </row>
    <row r="115" spans="1:12" customFormat="1" ht="15.75" customHeight="1" outlineLevel="4" x14ac:dyDescent="0.2">
      <c r="A115" s="214" t="s">
        <v>2303</v>
      </c>
      <c r="B115" s="70" t="s">
        <v>523</v>
      </c>
      <c r="C115" s="212" t="s">
        <v>499</v>
      </c>
      <c r="D115" s="118">
        <f t="shared" si="6"/>
        <v>1130</v>
      </c>
      <c r="E115" s="118">
        <f t="shared" si="7"/>
        <v>226</v>
      </c>
      <c r="F115" s="118">
        <f t="shared" si="8"/>
        <v>1356</v>
      </c>
      <c r="G115" s="118">
        <v>1251</v>
      </c>
      <c r="H115" s="304">
        <f t="shared" si="9"/>
        <v>1356.0840000000001</v>
      </c>
      <c r="I115" s="304">
        <f t="shared" si="10"/>
        <v>1356</v>
      </c>
      <c r="J115" s="330">
        <v>0.24</v>
      </c>
      <c r="L115" s="195"/>
    </row>
    <row r="116" spans="1:12" customFormat="1" ht="15.75" customHeight="1" outlineLevel="4" x14ac:dyDescent="0.2">
      <c r="A116" s="214" t="s">
        <v>2304</v>
      </c>
      <c r="B116" s="70" t="s">
        <v>2310</v>
      </c>
      <c r="C116" s="212"/>
      <c r="D116" s="118"/>
      <c r="E116" s="118"/>
      <c r="F116" s="118"/>
      <c r="G116" s="118"/>
      <c r="H116" s="304">
        <f t="shared" si="9"/>
        <v>0</v>
      </c>
      <c r="I116" s="304">
        <f t="shared" si="10"/>
        <v>0</v>
      </c>
      <c r="L116" s="195"/>
    </row>
    <row r="117" spans="1:12" customFormat="1" ht="15.75" customHeight="1" outlineLevel="5" x14ac:dyDescent="0.2">
      <c r="A117" s="214" t="s">
        <v>3201</v>
      </c>
      <c r="B117" s="90" t="s">
        <v>525</v>
      </c>
      <c r="C117" s="212" t="s">
        <v>499</v>
      </c>
      <c r="D117" s="118">
        <f t="shared" si="6"/>
        <v>2768.333333333333</v>
      </c>
      <c r="E117" s="118">
        <f t="shared" si="7"/>
        <v>553.66666666666674</v>
      </c>
      <c r="F117" s="118">
        <f t="shared" si="8"/>
        <v>3322</v>
      </c>
      <c r="G117" s="123">
        <v>3065</v>
      </c>
      <c r="H117" s="304">
        <f t="shared" si="9"/>
        <v>3322.46</v>
      </c>
      <c r="I117" s="304">
        <f t="shared" si="10"/>
        <v>3322</v>
      </c>
      <c r="L117" s="195"/>
    </row>
    <row r="118" spans="1:12" customFormat="1" ht="15.75" customHeight="1" outlineLevel="5" x14ac:dyDescent="0.2">
      <c r="A118" s="214" t="s">
        <v>3202</v>
      </c>
      <c r="B118" s="90" t="s">
        <v>526</v>
      </c>
      <c r="C118" s="212" t="s">
        <v>499</v>
      </c>
      <c r="D118" s="118">
        <f t="shared" si="6"/>
        <v>3560.833333333333</v>
      </c>
      <c r="E118" s="118">
        <f t="shared" si="7"/>
        <v>712.16666666666674</v>
      </c>
      <c r="F118" s="118">
        <f t="shared" si="8"/>
        <v>4273</v>
      </c>
      <c r="G118" s="123">
        <v>3942</v>
      </c>
      <c r="H118" s="304">
        <f t="shared" si="9"/>
        <v>4273.1280000000006</v>
      </c>
      <c r="I118" s="304">
        <f t="shared" si="10"/>
        <v>4273</v>
      </c>
      <c r="L118" s="195"/>
    </row>
    <row r="119" spans="1:12" customFormat="1" ht="15.75" customHeight="1" outlineLevel="5" x14ac:dyDescent="0.2">
      <c r="A119" s="214" t="s">
        <v>3203</v>
      </c>
      <c r="B119" s="90" t="s">
        <v>527</v>
      </c>
      <c r="C119" s="212" t="s">
        <v>499</v>
      </c>
      <c r="D119" s="118">
        <f t="shared" si="6"/>
        <v>4351.6666666666661</v>
      </c>
      <c r="E119" s="118">
        <f t="shared" si="7"/>
        <v>870.33333333333348</v>
      </c>
      <c r="F119" s="118">
        <f t="shared" si="8"/>
        <v>5222</v>
      </c>
      <c r="G119" s="118">
        <v>4817</v>
      </c>
      <c r="H119" s="304">
        <f t="shared" si="9"/>
        <v>5221.6280000000006</v>
      </c>
      <c r="I119" s="304">
        <f t="shared" si="10"/>
        <v>5222</v>
      </c>
      <c r="L119" s="195"/>
    </row>
    <row r="120" spans="1:12" customFormat="1" ht="15.75" customHeight="1" outlineLevel="5" x14ac:dyDescent="0.2">
      <c r="A120" s="214" t="s">
        <v>3204</v>
      </c>
      <c r="B120" s="90" t="s">
        <v>528</v>
      </c>
      <c r="C120" s="212" t="s">
        <v>499</v>
      </c>
      <c r="D120" s="118">
        <f t="shared" si="6"/>
        <v>5934.1666666666661</v>
      </c>
      <c r="E120" s="118">
        <f t="shared" si="7"/>
        <v>1186.8333333333335</v>
      </c>
      <c r="F120" s="118">
        <f t="shared" si="8"/>
        <v>7121</v>
      </c>
      <c r="G120" s="123">
        <v>6569</v>
      </c>
      <c r="H120" s="304">
        <f t="shared" si="9"/>
        <v>7120.7960000000003</v>
      </c>
      <c r="I120" s="304">
        <f t="shared" si="10"/>
        <v>7121</v>
      </c>
      <c r="L120" s="195"/>
    </row>
    <row r="121" spans="1:12" customFormat="1" ht="15.75" customHeight="1" outlineLevel="5" x14ac:dyDescent="0.2">
      <c r="A121" s="214" t="s">
        <v>3205</v>
      </c>
      <c r="B121" s="90" t="s">
        <v>529</v>
      </c>
      <c r="C121" s="212" t="s">
        <v>499</v>
      </c>
      <c r="D121" s="118">
        <f t="shared" si="6"/>
        <v>6725</v>
      </c>
      <c r="E121" s="118">
        <f t="shared" si="7"/>
        <v>1345</v>
      </c>
      <c r="F121" s="118">
        <f t="shared" si="8"/>
        <v>8070</v>
      </c>
      <c r="G121" s="123">
        <v>7445</v>
      </c>
      <c r="H121" s="304">
        <f t="shared" si="9"/>
        <v>8070.38</v>
      </c>
      <c r="I121" s="304">
        <f t="shared" si="10"/>
        <v>8070</v>
      </c>
      <c r="L121" s="195"/>
    </row>
    <row r="122" spans="1:12" customFormat="1" ht="15.75" customHeight="1" outlineLevel="5" x14ac:dyDescent="0.2">
      <c r="A122" s="214" t="s">
        <v>3206</v>
      </c>
      <c r="B122" s="90" t="s">
        <v>530</v>
      </c>
      <c r="C122" s="212" t="s">
        <v>499</v>
      </c>
      <c r="D122" s="118">
        <f t="shared" si="6"/>
        <v>7512.5</v>
      </c>
      <c r="E122" s="118">
        <f t="shared" si="7"/>
        <v>1502.5</v>
      </c>
      <c r="F122" s="118">
        <f t="shared" si="8"/>
        <v>9015</v>
      </c>
      <c r="G122" s="123">
        <v>8316</v>
      </c>
      <c r="H122" s="304">
        <f t="shared" si="9"/>
        <v>9014.5439999999999</v>
      </c>
      <c r="I122" s="304">
        <f t="shared" si="10"/>
        <v>9015</v>
      </c>
      <c r="L122" s="195"/>
    </row>
    <row r="123" spans="1:12" customFormat="1" ht="15.75" customHeight="1" outlineLevel="5" x14ac:dyDescent="0.2">
      <c r="A123" s="214" t="s">
        <v>3207</v>
      </c>
      <c r="B123" s="90" t="s">
        <v>531</v>
      </c>
      <c r="C123" s="212" t="s">
        <v>499</v>
      </c>
      <c r="D123" s="118">
        <f t="shared" si="6"/>
        <v>8298.3333333333321</v>
      </c>
      <c r="E123" s="118">
        <f t="shared" si="7"/>
        <v>1659.666666666667</v>
      </c>
      <c r="F123" s="118">
        <f t="shared" si="8"/>
        <v>9958</v>
      </c>
      <c r="G123" s="118">
        <v>9186</v>
      </c>
      <c r="H123" s="304">
        <f t="shared" si="9"/>
        <v>9957.6239999999998</v>
      </c>
      <c r="I123" s="304">
        <f t="shared" si="10"/>
        <v>9958</v>
      </c>
      <c r="L123" s="195"/>
    </row>
    <row r="124" spans="1:12" customFormat="1" ht="15.75" customHeight="1" outlineLevel="5" x14ac:dyDescent="0.2">
      <c r="A124" s="214" t="s">
        <v>3777</v>
      </c>
      <c r="B124" s="337" t="s">
        <v>3778</v>
      </c>
      <c r="C124" s="375" t="s">
        <v>499</v>
      </c>
      <c r="D124" s="118">
        <f t="shared" si="6"/>
        <v>140.83333333333331</v>
      </c>
      <c r="E124" s="118">
        <f t="shared" si="7"/>
        <v>28.166666666666671</v>
      </c>
      <c r="F124" s="118">
        <v>169</v>
      </c>
      <c r="G124" s="118"/>
      <c r="H124" s="304"/>
      <c r="I124" s="304"/>
      <c r="L124" s="195"/>
    </row>
    <row r="125" spans="1:12" customFormat="1" ht="33" customHeight="1" outlineLevel="5" x14ac:dyDescent="0.2">
      <c r="A125" s="214" t="s">
        <v>3795</v>
      </c>
      <c r="B125" s="145" t="s">
        <v>3801</v>
      </c>
      <c r="C125" s="378" t="s">
        <v>499</v>
      </c>
      <c r="D125" s="118">
        <f t="shared" si="6"/>
        <v>333.33333333333331</v>
      </c>
      <c r="E125" s="118">
        <f t="shared" si="7"/>
        <v>66.666666666666671</v>
      </c>
      <c r="F125" s="118">
        <v>400</v>
      </c>
      <c r="G125" s="118"/>
      <c r="H125" s="304"/>
      <c r="I125" s="304"/>
      <c r="L125" s="195"/>
    </row>
    <row r="126" spans="1:12" customFormat="1" ht="15.75" customHeight="1" outlineLevel="1" x14ac:dyDescent="0.2">
      <c r="A126" s="215" t="s">
        <v>2187</v>
      </c>
      <c r="B126" s="70" t="s">
        <v>532</v>
      </c>
      <c r="C126" s="107" t="s">
        <v>487</v>
      </c>
      <c r="D126" s="118">
        <f t="shared" si="6"/>
        <v>162.5</v>
      </c>
      <c r="E126" s="118">
        <f t="shared" si="7"/>
        <v>32.5</v>
      </c>
      <c r="F126" s="118">
        <f t="shared" si="8"/>
        <v>195</v>
      </c>
      <c r="G126" s="118">
        <f>156/1.04*1.2</f>
        <v>180</v>
      </c>
      <c r="H126" s="304">
        <f t="shared" si="9"/>
        <v>195.12</v>
      </c>
      <c r="I126" s="304">
        <f t="shared" si="10"/>
        <v>195</v>
      </c>
      <c r="J126" s="330">
        <v>0.04</v>
      </c>
      <c r="L126" s="195"/>
    </row>
    <row r="127" spans="1:12" customFormat="1" ht="15.75" customHeight="1" outlineLevel="1" x14ac:dyDescent="0.2">
      <c r="A127" s="215" t="s">
        <v>2188</v>
      </c>
      <c r="B127" s="70" t="s">
        <v>533</v>
      </c>
      <c r="C127" s="107" t="s">
        <v>487</v>
      </c>
      <c r="D127" s="118">
        <f t="shared" si="6"/>
        <v>98.333333333333329</v>
      </c>
      <c r="E127" s="118">
        <f t="shared" si="7"/>
        <v>19.666666666666671</v>
      </c>
      <c r="F127" s="118">
        <f t="shared" si="8"/>
        <v>118</v>
      </c>
      <c r="G127" s="118">
        <f>94/1.04*1.2</f>
        <v>108.46153846153847</v>
      </c>
      <c r="H127" s="304">
        <f t="shared" si="9"/>
        <v>117.5723076923077</v>
      </c>
      <c r="I127" s="304">
        <f t="shared" si="10"/>
        <v>118</v>
      </c>
      <c r="J127" s="330">
        <v>0.04</v>
      </c>
      <c r="L127" s="195"/>
    </row>
    <row r="128" spans="1:12" customFormat="1" ht="15.75" customHeight="1" outlineLevel="1" x14ac:dyDescent="0.2">
      <c r="A128" s="215" t="s">
        <v>2189</v>
      </c>
      <c r="B128" s="70" t="s">
        <v>534</v>
      </c>
      <c r="C128" s="107" t="s">
        <v>499</v>
      </c>
      <c r="D128" s="118">
        <f t="shared" si="6"/>
        <v>140.83333333333331</v>
      </c>
      <c r="E128" s="118">
        <f t="shared" si="7"/>
        <v>28.166666666666671</v>
      </c>
      <c r="F128" s="118">
        <f t="shared" si="8"/>
        <v>169</v>
      </c>
      <c r="G128" s="118">
        <v>156</v>
      </c>
      <c r="H128" s="304">
        <f t="shared" si="9"/>
        <v>169.10400000000001</v>
      </c>
      <c r="I128" s="304">
        <f t="shared" si="10"/>
        <v>169</v>
      </c>
      <c r="J128" s="330">
        <v>0.22</v>
      </c>
      <c r="L128" s="195"/>
    </row>
    <row r="129" spans="1:12" customFormat="1" ht="15.75" customHeight="1" outlineLevel="1" x14ac:dyDescent="0.2">
      <c r="A129" s="215" t="s">
        <v>2190</v>
      </c>
      <c r="B129" s="145" t="s">
        <v>3209</v>
      </c>
      <c r="C129" s="263" t="s">
        <v>499</v>
      </c>
      <c r="D129" s="118">
        <f>F129-E129</f>
        <v>140.83333333333331</v>
      </c>
      <c r="E129" s="118">
        <f>F129/1.2*0.2</f>
        <v>28.166666666666671</v>
      </c>
      <c r="F129" s="118">
        <f>I129</f>
        <v>169</v>
      </c>
      <c r="G129" s="118">
        <v>156</v>
      </c>
      <c r="H129" s="304">
        <f>G129*$H$8</f>
        <v>169.10400000000001</v>
      </c>
      <c r="I129" s="304">
        <f>ROUND(H129,0)</f>
        <v>169</v>
      </c>
      <c r="J129" t="s">
        <v>3248</v>
      </c>
      <c r="L129" s="195"/>
    </row>
    <row r="130" spans="1:12" customFormat="1" ht="15.75" customHeight="1" outlineLevel="1" x14ac:dyDescent="0.2">
      <c r="A130" s="215" t="s">
        <v>2191</v>
      </c>
      <c r="B130" s="70" t="s">
        <v>535</v>
      </c>
      <c r="C130" s="107" t="s">
        <v>543</v>
      </c>
      <c r="D130" s="118">
        <f t="shared" si="6"/>
        <v>282.5</v>
      </c>
      <c r="E130" s="118">
        <f t="shared" si="7"/>
        <v>56.5</v>
      </c>
      <c r="F130" s="118">
        <f t="shared" si="8"/>
        <v>339</v>
      </c>
      <c r="G130" s="118">
        <v>313</v>
      </c>
      <c r="H130" s="304">
        <f t="shared" si="9"/>
        <v>339.29200000000003</v>
      </c>
      <c r="I130" s="304">
        <f t="shared" si="10"/>
        <v>339</v>
      </c>
      <c r="J130" s="330">
        <v>0.21</v>
      </c>
      <c r="L130" s="195"/>
    </row>
    <row r="131" spans="1:12" customFormat="1" ht="15.75" customHeight="1" outlineLevel="1" x14ac:dyDescent="0.2">
      <c r="A131" s="215" t="s">
        <v>2192</v>
      </c>
      <c r="B131" s="70" t="s">
        <v>536</v>
      </c>
      <c r="C131" s="107" t="s">
        <v>499</v>
      </c>
      <c r="D131" s="118">
        <f t="shared" si="6"/>
        <v>99.166666666666657</v>
      </c>
      <c r="E131" s="118">
        <f t="shared" si="7"/>
        <v>19.833333333333336</v>
      </c>
      <c r="F131" s="118">
        <f t="shared" si="8"/>
        <v>119</v>
      </c>
      <c r="G131" s="118">
        <f>94/1.03*1.2</f>
        <v>109.5145631067961</v>
      </c>
      <c r="H131" s="304">
        <f t="shared" si="9"/>
        <v>118.71378640776699</v>
      </c>
      <c r="I131" s="304">
        <f t="shared" si="10"/>
        <v>119</v>
      </c>
      <c r="J131" s="330">
        <v>0.03</v>
      </c>
      <c r="L131" s="195"/>
    </row>
    <row r="132" spans="1:12" customFormat="1" ht="15.75" customHeight="1" outlineLevel="1" x14ac:dyDescent="0.2">
      <c r="A132" s="215" t="s">
        <v>2193</v>
      </c>
      <c r="B132" s="70" t="s">
        <v>537</v>
      </c>
      <c r="C132" s="107" t="s">
        <v>538</v>
      </c>
      <c r="D132" s="118">
        <f t="shared" si="6"/>
        <v>46.666666666666664</v>
      </c>
      <c r="E132" s="118">
        <f t="shared" si="7"/>
        <v>9.3333333333333339</v>
      </c>
      <c r="F132" s="118">
        <f t="shared" si="8"/>
        <v>56</v>
      </c>
      <c r="G132" s="118">
        <f>47/1.1*1.2</f>
        <v>51.272727272727273</v>
      </c>
      <c r="H132" s="304">
        <f t="shared" si="9"/>
        <v>55.579636363636368</v>
      </c>
      <c r="I132" s="304">
        <f t="shared" si="10"/>
        <v>56</v>
      </c>
      <c r="J132" s="330">
        <v>0.1</v>
      </c>
      <c r="L132" s="195"/>
    </row>
    <row r="133" spans="1:12" customFormat="1" ht="15.75" customHeight="1" outlineLevel="1" x14ac:dyDescent="0.25">
      <c r="A133" s="215" t="s">
        <v>2194</v>
      </c>
      <c r="B133" s="70" t="s">
        <v>539</v>
      </c>
      <c r="C133" s="107"/>
      <c r="D133" s="118"/>
      <c r="E133" s="118"/>
      <c r="F133" s="118"/>
      <c r="G133" s="118"/>
      <c r="H133" s="304">
        <f t="shared" si="9"/>
        <v>0</v>
      </c>
      <c r="I133" s="304">
        <f t="shared" si="10"/>
        <v>0</v>
      </c>
      <c r="J133" s="1"/>
      <c r="L133" s="195"/>
    </row>
    <row r="134" spans="1:12" customFormat="1" ht="15.75" customHeight="1" outlineLevel="2" x14ac:dyDescent="0.2">
      <c r="A134" s="214" t="s">
        <v>3310</v>
      </c>
      <c r="B134" s="70" t="s">
        <v>540</v>
      </c>
      <c r="C134" s="212" t="s">
        <v>487</v>
      </c>
      <c r="D134" s="118">
        <f t="shared" si="6"/>
        <v>147.5</v>
      </c>
      <c r="E134" s="118">
        <f t="shared" si="7"/>
        <v>29.5</v>
      </c>
      <c r="F134" s="118">
        <f t="shared" si="8"/>
        <v>177</v>
      </c>
      <c r="G134" s="118">
        <f>125*1.09*1.2</f>
        <v>163.5</v>
      </c>
      <c r="H134" s="304">
        <f t="shared" si="9"/>
        <v>177.23400000000001</v>
      </c>
      <c r="I134" s="304">
        <f t="shared" si="10"/>
        <v>177</v>
      </c>
      <c r="J134" s="330">
        <v>-0.09</v>
      </c>
      <c r="L134" s="195"/>
    </row>
    <row r="135" spans="1:12" customFormat="1" ht="15.75" customHeight="1" outlineLevel="2" x14ac:dyDescent="0.2">
      <c r="A135" s="214" t="s">
        <v>3311</v>
      </c>
      <c r="B135" s="70" t="s">
        <v>541</v>
      </c>
      <c r="C135" s="212" t="s">
        <v>487</v>
      </c>
      <c r="D135" s="118">
        <f t="shared" si="6"/>
        <v>206.66666666666666</v>
      </c>
      <c r="E135" s="118">
        <f t="shared" si="7"/>
        <v>41.333333333333343</v>
      </c>
      <c r="F135" s="118">
        <f t="shared" si="8"/>
        <v>248</v>
      </c>
      <c r="G135" s="118">
        <f>187*1.02*1.2</f>
        <v>228.88800000000001</v>
      </c>
      <c r="H135" s="304">
        <f t="shared" si="9"/>
        <v>248.11459200000002</v>
      </c>
      <c r="I135" s="304">
        <f t="shared" si="10"/>
        <v>248</v>
      </c>
      <c r="J135" s="330">
        <v>-0.02</v>
      </c>
      <c r="L135" s="195"/>
    </row>
    <row r="136" spans="1:12" customFormat="1" ht="15.75" customHeight="1" outlineLevel="1" x14ac:dyDescent="0.2">
      <c r="A136" s="215" t="s">
        <v>2195</v>
      </c>
      <c r="B136" s="70" t="s">
        <v>542</v>
      </c>
      <c r="C136" s="107" t="s">
        <v>543</v>
      </c>
      <c r="D136" s="118">
        <f t="shared" si="6"/>
        <v>153.33333333333331</v>
      </c>
      <c r="E136" s="118">
        <f t="shared" si="7"/>
        <v>30.666666666666671</v>
      </c>
      <c r="F136" s="118">
        <f t="shared" si="8"/>
        <v>184</v>
      </c>
      <c r="G136" s="118">
        <f>156/1.1*1.2</f>
        <v>170.18181818181816</v>
      </c>
      <c r="H136" s="304">
        <f t="shared" si="9"/>
        <v>184.47709090909089</v>
      </c>
      <c r="I136" s="304">
        <f t="shared" si="10"/>
        <v>184</v>
      </c>
      <c r="J136" s="330">
        <v>0.1</v>
      </c>
      <c r="L136" s="195"/>
    </row>
    <row r="137" spans="1:12" customFormat="1" ht="15.75" customHeight="1" outlineLevel="1" x14ac:dyDescent="0.25">
      <c r="A137" s="215" t="s">
        <v>2196</v>
      </c>
      <c r="B137" s="181" t="s">
        <v>556</v>
      </c>
      <c r="C137" s="107"/>
      <c r="D137" s="118"/>
      <c r="E137" s="118"/>
      <c r="F137" s="118"/>
      <c r="G137" s="118"/>
      <c r="H137" s="304">
        <f t="shared" si="9"/>
        <v>0</v>
      </c>
      <c r="I137" s="304">
        <f t="shared" si="10"/>
        <v>0</v>
      </c>
      <c r="J137" s="1"/>
      <c r="L137" s="195"/>
    </row>
    <row r="138" spans="1:12" customFormat="1" ht="15.75" customHeight="1" outlineLevel="2" x14ac:dyDescent="0.2">
      <c r="A138" s="214" t="s">
        <v>2692</v>
      </c>
      <c r="B138" s="70" t="s">
        <v>558</v>
      </c>
      <c r="C138" s="212" t="s">
        <v>557</v>
      </c>
      <c r="D138" s="118">
        <f t="shared" si="6"/>
        <v>78.333333333333329</v>
      </c>
      <c r="E138" s="118">
        <f t="shared" si="7"/>
        <v>15.66666666666667</v>
      </c>
      <c r="F138" s="118">
        <f t="shared" si="8"/>
        <v>94</v>
      </c>
      <c r="G138" s="118">
        <v>87</v>
      </c>
      <c r="H138" s="304">
        <f t="shared" si="9"/>
        <v>94.308000000000007</v>
      </c>
      <c r="I138" s="304">
        <f t="shared" si="10"/>
        <v>94</v>
      </c>
      <c r="J138" s="330">
        <v>0.24</v>
      </c>
      <c r="L138" s="195"/>
    </row>
    <row r="139" spans="1:12" customFormat="1" ht="15.75" customHeight="1" outlineLevel="2" x14ac:dyDescent="0.2">
      <c r="A139" s="214" t="s">
        <v>2693</v>
      </c>
      <c r="B139" s="70" t="s">
        <v>559</v>
      </c>
      <c r="C139" s="212" t="s">
        <v>557</v>
      </c>
      <c r="D139" s="118">
        <f t="shared" si="6"/>
        <v>139.16666666666666</v>
      </c>
      <c r="E139" s="118">
        <f t="shared" si="7"/>
        <v>27.833333333333339</v>
      </c>
      <c r="F139" s="118">
        <f t="shared" si="8"/>
        <v>167</v>
      </c>
      <c r="G139" s="118">
        <f>136/1.06*1.2</f>
        <v>153.96226415094338</v>
      </c>
      <c r="H139" s="304">
        <f t="shared" si="9"/>
        <v>166.89509433962263</v>
      </c>
      <c r="I139" s="304">
        <f t="shared" si="10"/>
        <v>167</v>
      </c>
      <c r="J139" s="330">
        <v>0.06</v>
      </c>
      <c r="L139" s="195"/>
    </row>
    <row r="140" spans="1:12" customFormat="1" ht="15.75" customHeight="1" outlineLevel="2" x14ac:dyDescent="0.2">
      <c r="A140" s="214" t="s">
        <v>2694</v>
      </c>
      <c r="B140" s="70" t="s">
        <v>560</v>
      </c>
      <c r="C140" s="212" t="s">
        <v>557</v>
      </c>
      <c r="D140" s="118">
        <f t="shared" si="6"/>
        <v>75.833333333333329</v>
      </c>
      <c r="E140" s="118">
        <f t="shared" si="7"/>
        <v>15.16666666666667</v>
      </c>
      <c r="F140" s="118">
        <f t="shared" si="8"/>
        <v>91</v>
      </c>
      <c r="G140" s="118">
        <f>83/1.18*1.2</f>
        <v>84.406779661016955</v>
      </c>
      <c r="H140" s="304">
        <f t="shared" si="9"/>
        <v>91.496949152542385</v>
      </c>
      <c r="I140" s="304">
        <f t="shared" si="10"/>
        <v>91</v>
      </c>
      <c r="J140" s="330">
        <v>0.18</v>
      </c>
      <c r="L140" s="195"/>
    </row>
    <row r="141" spans="1:12" customFormat="1" ht="15.75" customHeight="1" outlineLevel="2" x14ac:dyDescent="0.2">
      <c r="A141" s="214" t="s">
        <v>2695</v>
      </c>
      <c r="B141" s="70" t="s">
        <v>561</v>
      </c>
      <c r="C141" s="212" t="s">
        <v>557</v>
      </c>
      <c r="D141" s="118">
        <f t="shared" si="6"/>
        <v>90</v>
      </c>
      <c r="E141" s="118">
        <f t="shared" si="7"/>
        <v>18</v>
      </c>
      <c r="F141" s="118">
        <f t="shared" si="8"/>
        <v>108</v>
      </c>
      <c r="G141" s="118">
        <f>87/1.05*1.2</f>
        <v>99.428571428571416</v>
      </c>
      <c r="H141" s="304">
        <f t="shared" si="9"/>
        <v>107.78057142857142</v>
      </c>
      <c r="I141" s="304">
        <f t="shared" si="10"/>
        <v>108</v>
      </c>
      <c r="J141" s="330">
        <v>0.05</v>
      </c>
      <c r="L141" s="195"/>
    </row>
    <row r="142" spans="1:12" customFormat="1" ht="15.75" customHeight="1" outlineLevel="2" x14ac:dyDescent="0.2">
      <c r="A142" s="214" t="s">
        <v>2696</v>
      </c>
      <c r="B142" s="70" t="s">
        <v>562</v>
      </c>
      <c r="C142" s="212" t="s">
        <v>557</v>
      </c>
      <c r="D142" s="118">
        <f t="shared" si="6"/>
        <v>113.33333333333333</v>
      </c>
      <c r="E142" s="118">
        <f t="shared" si="7"/>
        <v>22.666666666666671</v>
      </c>
      <c r="F142" s="118">
        <f t="shared" si="8"/>
        <v>136</v>
      </c>
      <c r="G142" s="118">
        <f>110/1.05*1.2</f>
        <v>125.71428571428571</v>
      </c>
      <c r="H142" s="304">
        <f t="shared" si="9"/>
        <v>136.27428571428572</v>
      </c>
      <c r="I142" s="304">
        <f t="shared" si="10"/>
        <v>136</v>
      </c>
      <c r="J142" s="330">
        <v>0.05</v>
      </c>
      <c r="L142" s="195"/>
    </row>
    <row r="143" spans="1:12" customFormat="1" ht="15.75" customHeight="1" outlineLevel="2" x14ac:dyDescent="0.2">
      <c r="A143" s="214" t="s">
        <v>2697</v>
      </c>
      <c r="B143" s="70" t="s">
        <v>563</v>
      </c>
      <c r="C143" s="212" t="s">
        <v>557</v>
      </c>
      <c r="D143" s="118">
        <f t="shared" si="6"/>
        <v>128.33333333333331</v>
      </c>
      <c r="E143" s="118">
        <f t="shared" si="7"/>
        <v>25.666666666666671</v>
      </c>
      <c r="F143" s="118">
        <f t="shared" si="8"/>
        <v>154</v>
      </c>
      <c r="G143" s="118">
        <f>133/1.12*1.2</f>
        <v>142.49999999999997</v>
      </c>
      <c r="H143" s="304">
        <f t="shared" si="9"/>
        <v>154.46999999999997</v>
      </c>
      <c r="I143" s="304">
        <f t="shared" si="10"/>
        <v>154</v>
      </c>
      <c r="J143" s="330">
        <v>0.12</v>
      </c>
      <c r="L143" s="195"/>
    </row>
    <row r="144" spans="1:12" customFormat="1" ht="15.75" customHeight="1" outlineLevel="2" x14ac:dyDescent="0.2">
      <c r="A144" s="214" t="s">
        <v>2698</v>
      </c>
      <c r="B144" s="70" t="s">
        <v>564</v>
      </c>
      <c r="C144" s="212" t="s">
        <v>557</v>
      </c>
      <c r="D144" s="118">
        <f t="shared" si="6"/>
        <v>178.33333333333331</v>
      </c>
      <c r="E144" s="118">
        <f t="shared" si="7"/>
        <v>35.666666666666671</v>
      </c>
      <c r="F144" s="118">
        <f t="shared" si="8"/>
        <v>214</v>
      </c>
      <c r="G144" s="118">
        <f>174/1.06*1.2</f>
        <v>196.98113207547169</v>
      </c>
      <c r="H144" s="304">
        <f t="shared" si="9"/>
        <v>213.52754716981133</v>
      </c>
      <c r="I144" s="304">
        <f t="shared" si="10"/>
        <v>214</v>
      </c>
      <c r="J144" s="330">
        <v>0.06</v>
      </c>
      <c r="L144" s="195"/>
    </row>
    <row r="145" spans="1:12" customFormat="1" ht="15.75" customHeight="1" outlineLevel="2" x14ac:dyDescent="0.2">
      <c r="A145" s="214" t="s">
        <v>2699</v>
      </c>
      <c r="B145" s="70" t="s">
        <v>565</v>
      </c>
      <c r="C145" s="212" t="s">
        <v>557</v>
      </c>
      <c r="D145" s="118">
        <f t="shared" si="6"/>
        <v>124.16666666666666</v>
      </c>
      <c r="E145" s="118">
        <f t="shared" si="7"/>
        <v>24.833333333333336</v>
      </c>
      <c r="F145" s="118">
        <f t="shared" si="8"/>
        <v>149</v>
      </c>
      <c r="G145" s="118">
        <f>136/1.19*1.2</f>
        <v>137.14285714285714</v>
      </c>
      <c r="H145" s="304">
        <f t="shared" si="9"/>
        <v>148.66285714285715</v>
      </c>
      <c r="I145" s="304">
        <f t="shared" si="10"/>
        <v>149</v>
      </c>
      <c r="J145" s="330">
        <v>0.19</v>
      </c>
      <c r="L145" s="195"/>
    </row>
    <row r="146" spans="1:12" customFormat="1" ht="15.75" customHeight="1" outlineLevel="2" x14ac:dyDescent="0.2">
      <c r="A146" s="214" t="s">
        <v>2700</v>
      </c>
      <c r="B146" s="70" t="s">
        <v>566</v>
      </c>
      <c r="C146" s="212" t="s">
        <v>557</v>
      </c>
      <c r="D146" s="118">
        <f t="shared" si="6"/>
        <v>193.33333333333331</v>
      </c>
      <c r="E146" s="118">
        <f t="shared" si="7"/>
        <v>38.666666666666671</v>
      </c>
      <c r="F146" s="118">
        <f t="shared" si="8"/>
        <v>232</v>
      </c>
      <c r="G146" s="118">
        <f>205/1.15*1.2</f>
        <v>213.91304347826087</v>
      </c>
      <c r="H146" s="304">
        <f t="shared" si="9"/>
        <v>231.8817391304348</v>
      </c>
      <c r="I146" s="304">
        <f t="shared" si="10"/>
        <v>232</v>
      </c>
      <c r="J146" s="330">
        <v>0.15</v>
      </c>
      <c r="L146" s="195"/>
    </row>
    <row r="147" spans="1:12" customFormat="1" ht="15.75" customHeight="1" outlineLevel="2" x14ac:dyDescent="0.2">
      <c r="A147" s="214" t="s">
        <v>2701</v>
      </c>
      <c r="B147" s="70" t="s">
        <v>567</v>
      </c>
      <c r="C147" s="212" t="s">
        <v>557</v>
      </c>
      <c r="D147" s="118">
        <f t="shared" ref="D147:D236" si="11">F147-E147</f>
        <v>275.83333333333331</v>
      </c>
      <c r="E147" s="118">
        <f t="shared" ref="E147:E236" si="12">F147/1.2*0.2</f>
        <v>55.166666666666679</v>
      </c>
      <c r="F147" s="118">
        <f t="shared" ref="F147:F236" si="13">I147</f>
        <v>331</v>
      </c>
      <c r="G147" s="118">
        <f>275/1.08*1.2</f>
        <v>305.55555555555554</v>
      </c>
      <c r="H147" s="304">
        <f t="shared" ref="H147:H236" si="14">G147*$H$8</f>
        <v>331.22222222222223</v>
      </c>
      <c r="I147" s="304">
        <f t="shared" ref="I147:I236" si="15">ROUND(H147,0)</f>
        <v>331</v>
      </c>
      <c r="J147" s="330">
        <v>0.08</v>
      </c>
      <c r="L147" s="195"/>
    </row>
    <row r="148" spans="1:12" customFormat="1" ht="15.75" customHeight="1" outlineLevel="2" x14ac:dyDescent="0.2">
      <c r="A148" s="214" t="s">
        <v>2702</v>
      </c>
      <c r="B148" s="70" t="s">
        <v>568</v>
      </c>
      <c r="C148" s="212" t="s">
        <v>557</v>
      </c>
      <c r="D148" s="118">
        <f t="shared" si="11"/>
        <v>319.16666666666663</v>
      </c>
      <c r="E148" s="118">
        <f t="shared" si="12"/>
        <v>63.833333333333343</v>
      </c>
      <c r="F148" s="118">
        <f t="shared" si="13"/>
        <v>383</v>
      </c>
      <c r="G148" s="118">
        <f>347/1.18*1.2</f>
        <v>352.88135593220341</v>
      </c>
      <c r="H148" s="304">
        <f t="shared" si="14"/>
        <v>382.52338983050851</v>
      </c>
      <c r="I148" s="304">
        <f t="shared" si="15"/>
        <v>383</v>
      </c>
      <c r="J148" s="330">
        <v>0.18</v>
      </c>
      <c r="L148" s="195"/>
    </row>
    <row r="149" spans="1:12" customFormat="1" ht="36" customHeight="1" outlineLevel="1" x14ac:dyDescent="0.2">
      <c r="A149" s="215" t="s">
        <v>2197</v>
      </c>
      <c r="B149" s="181" t="s">
        <v>3268</v>
      </c>
      <c r="C149" s="107"/>
      <c r="D149" s="118"/>
      <c r="E149" s="118"/>
      <c r="F149" s="118"/>
      <c r="G149" s="118"/>
      <c r="H149" s="304">
        <f t="shared" si="14"/>
        <v>0</v>
      </c>
      <c r="I149" s="304">
        <f t="shared" si="15"/>
        <v>0</v>
      </c>
      <c r="L149" s="195"/>
    </row>
    <row r="150" spans="1:12" customFormat="1" ht="15.75" customHeight="1" outlineLevel="2" x14ac:dyDescent="0.2">
      <c r="A150" s="214" t="s">
        <v>3312</v>
      </c>
      <c r="B150" s="70" t="s">
        <v>3270</v>
      </c>
      <c r="C150" s="212" t="s">
        <v>557</v>
      </c>
      <c r="D150" s="118">
        <f t="shared" si="11"/>
        <v>130.83333333333331</v>
      </c>
      <c r="E150" s="118">
        <f t="shared" si="12"/>
        <v>26.166666666666671</v>
      </c>
      <c r="F150" s="118">
        <f t="shared" si="13"/>
        <v>157</v>
      </c>
      <c r="G150" s="118">
        <f>128/1.06*1.2</f>
        <v>144.90566037735846</v>
      </c>
      <c r="H150" s="304">
        <f t="shared" si="14"/>
        <v>157.07773584905658</v>
      </c>
      <c r="I150" s="304">
        <f t="shared" si="15"/>
        <v>157</v>
      </c>
      <c r="J150" s="330">
        <v>0.06</v>
      </c>
      <c r="L150" s="195"/>
    </row>
    <row r="151" spans="1:12" customFormat="1" ht="15.75" customHeight="1" outlineLevel="2" x14ac:dyDescent="0.2">
      <c r="A151" s="214" t="s">
        <v>3314</v>
      </c>
      <c r="B151" s="70" t="s">
        <v>3271</v>
      </c>
      <c r="C151" s="212" t="s">
        <v>557</v>
      </c>
      <c r="D151" s="118">
        <f t="shared" si="11"/>
        <v>172.5</v>
      </c>
      <c r="E151" s="118">
        <f t="shared" si="12"/>
        <v>34.5</v>
      </c>
      <c r="F151" s="118">
        <f t="shared" si="13"/>
        <v>207</v>
      </c>
      <c r="G151" s="118">
        <f>185/1.16*1.2</f>
        <v>191.37931034482762</v>
      </c>
      <c r="H151" s="304">
        <f t="shared" si="14"/>
        <v>207.45517241379315</v>
      </c>
      <c r="I151" s="304">
        <f t="shared" si="15"/>
        <v>207</v>
      </c>
      <c r="J151" s="330">
        <v>0.16</v>
      </c>
      <c r="L151" s="195"/>
    </row>
    <row r="152" spans="1:12" customFormat="1" ht="15.75" customHeight="1" outlineLevel="2" x14ac:dyDescent="0.2">
      <c r="A152" s="214" t="s">
        <v>3313</v>
      </c>
      <c r="B152" s="70" t="s">
        <v>3272</v>
      </c>
      <c r="C152" s="212" t="s">
        <v>557</v>
      </c>
      <c r="D152" s="118">
        <f t="shared" si="11"/>
        <v>187.5</v>
      </c>
      <c r="E152" s="118">
        <f t="shared" si="12"/>
        <v>37.5</v>
      </c>
      <c r="F152" s="118">
        <f t="shared" si="13"/>
        <v>225</v>
      </c>
      <c r="G152" s="118">
        <f>192/1.11*1.2</f>
        <v>207.56756756756755</v>
      </c>
      <c r="H152" s="304">
        <f t="shared" si="14"/>
        <v>225.00324324324325</v>
      </c>
      <c r="I152" s="304">
        <f t="shared" si="15"/>
        <v>225</v>
      </c>
      <c r="J152" s="330">
        <v>0.11</v>
      </c>
      <c r="L152" s="195"/>
    </row>
    <row r="153" spans="1:12" customFormat="1" ht="15.75" customHeight="1" outlineLevel="2" x14ac:dyDescent="0.2">
      <c r="A153" s="214" t="s">
        <v>3315</v>
      </c>
      <c r="B153" s="70" t="s">
        <v>3273</v>
      </c>
      <c r="C153" s="212" t="s">
        <v>557</v>
      </c>
      <c r="D153" s="118">
        <f t="shared" si="11"/>
        <v>230</v>
      </c>
      <c r="E153" s="118">
        <f t="shared" si="12"/>
        <v>46</v>
      </c>
      <c r="F153" s="118">
        <f t="shared" si="13"/>
        <v>276</v>
      </c>
      <c r="G153" s="118">
        <f>202*1.05*1.2</f>
        <v>254.52</v>
      </c>
      <c r="H153" s="304">
        <f t="shared" si="14"/>
        <v>275.89968000000005</v>
      </c>
      <c r="I153" s="304">
        <f t="shared" si="15"/>
        <v>276</v>
      </c>
      <c r="J153" s="330">
        <v>-0.05</v>
      </c>
      <c r="L153" s="195"/>
    </row>
    <row r="154" spans="1:12" customFormat="1" ht="15.75" customHeight="1" outlineLevel="2" x14ac:dyDescent="0.2">
      <c r="A154" s="214" t="s">
        <v>3316</v>
      </c>
      <c r="B154" s="70" t="s">
        <v>3274</v>
      </c>
      <c r="C154" s="212" t="s">
        <v>557</v>
      </c>
      <c r="D154" s="118">
        <f t="shared" si="11"/>
        <v>306.66666666666663</v>
      </c>
      <c r="E154" s="118">
        <f t="shared" si="12"/>
        <v>61.333333333333343</v>
      </c>
      <c r="F154" s="118">
        <f t="shared" si="13"/>
        <v>368</v>
      </c>
      <c r="G154" s="118">
        <f>283*1.2</f>
        <v>339.59999999999997</v>
      </c>
      <c r="H154" s="304">
        <f t="shared" si="14"/>
        <v>368.12639999999999</v>
      </c>
      <c r="I154" s="304">
        <f t="shared" si="15"/>
        <v>368</v>
      </c>
      <c r="J154" s="330">
        <v>0</v>
      </c>
      <c r="L154" s="195"/>
    </row>
    <row r="155" spans="1:12" customFormat="1" ht="15.75" customHeight="1" outlineLevel="2" x14ac:dyDescent="0.2">
      <c r="A155" s="214" t="s">
        <v>3317</v>
      </c>
      <c r="B155" s="70" t="s">
        <v>570</v>
      </c>
      <c r="C155" s="212" t="s">
        <v>557</v>
      </c>
      <c r="D155" s="118">
        <f t="shared" si="11"/>
        <v>115.83333333333333</v>
      </c>
      <c r="E155" s="118">
        <f t="shared" si="12"/>
        <v>23.166666666666671</v>
      </c>
      <c r="F155" s="118">
        <f t="shared" si="13"/>
        <v>139</v>
      </c>
      <c r="G155" s="118">
        <v>128</v>
      </c>
      <c r="H155" s="304">
        <f t="shared" si="14"/>
        <v>138.75200000000001</v>
      </c>
      <c r="I155" s="304">
        <f t="shared" si="15"/>
        <v>139</v>
      </c>
      <c r="L155" s="195"/>
    </row>
    <row r="156" spans="1:12" customFormat="1" ht="15.75" customHeight="1" outlineLevel="2" x14ac:dyDescent="0.2">
      <c r="A156" s="214" t="s">
        <v>3318</v>
      </c>
      <c r="B156" s="70" t="s">
        <v>571</v>
      </c>
      <c r="C156" s="212" t="s">
        <v>557</v>
      </c>
      <c r="D156" s="118">
        <f t="shared" si="11"/>
        <v>167.5</v>
      </c>
      <c r="E156" s="118">
        <f t="shared" si="12"/>
        <v>33.5</v>
      </c>
      <c r="F156" s="118">
        <f t="shared" si="13"/>
        <v>201</v>
      </c>
      <c r="G156" s="118">
        <v>185</v>
      </c>
      <c r="H156" s="304">
        <f t="shared" si="14"/>
        <v>200.54000000000002</v>
      </c>
      <c r="I156" s="304">
        <f t="shared" si="15"/>
        <v>201</v>
      </c>
      <c r="L156" s="195"/>
    </row>
    <row r="157" spans="1:12" customFormat="1" ht="15.75" customHeight="1" outlineLevel="2" x14ac:dyDescent="0.2">
      <c r="A157" s="214" t="s">
        <v>2198</v>
      </c>
      <c r="B157" s="181" t="s">
        <v>3269</v>
      </c>
      <c r="C157" s="332"/>
      <c r="D157" s="118"/>
      <c r="E157" s="118"/>
      <c r="F157" s="118"/>
      <c r="G157" s="118"/>
      <c r="H157" s="304"/>
      <c r="I157" s="304"/>
      <c r="L157" s="195"/>
    </row>
    <row r="158" spans="1:12" customFormat="1" ht="15.75" customHeight="1" outlineLevel="2" x14ac:dyDescent="0.2">
      <c r="A158" s="214" t="s">
        <v>3319</v>
      </c>
      <c r="B158" s="181" t="s">
        <v>3277</v>
      </c>
      <c r="C158" s="332"/>
      <c r="D158" s="118"/>
      <c r="E158" s="118"/>
      <c r="F158" s="118"/>
      <c r="G158" s="118"/>
      <c r="H158" s="304"/>
      <c r="I158" s="304"/>
      <c r="L158" s="195"/>
    </row>
    <row r="159" spans="1:12" customFormat="1" ht="15.75" customHeight="1" outlineLevel="2" x14ac:dyDescent="0.2">
      <c r="A159" s="214" t="s">
        <v>3320</v>
      </c>
      <c r="B159" s="70" t="s">
        <v>3270</v>
      </c>
      <c r="C159" s="212" t="s">
        <v>557</v>
      </c>
      <c r="D159" s="252">
        <f>F159-E159</f>
        <v>416.66666666666663</v>
      </c>
      <c r="E159" s="252">
        <f>F159/1.2*0.2</f>
        <v>83.333333333333343</v>
      </c>
      <c r="F159" s="252">
        <v>500</v>
      </c>
      <c r="G159" s="252">
        <v>232</v>
      </c>
      <c r="H159" s="304">
        <f>G159*$H$8</f>
        <v>251.48800000000003</v>
      </c>
      <c r="I159" s="304">
        <f>ROUND(H159,0)</f>
        <v>251</v>
      </c>
      <c r="L159" s="195"/>
    </row>
    <row r="160" spans="1:12" customFormat="1" ht="15.75" customHeight="1" outlineLevel="2" x14ac:dyDescent="0.2">
      <c r="A160" s="214" t="s">
        <v>3321</v>
      </c>
      <c r="B160" s="70" t="s">
        <v>3275</v>
      </c>
      <c r="C160" s="212" t="s">
        <v>557</v>
      </c>
      <c r="D160" s="252">
        <f>F160-E160</f>
        <v>483.33333333333331</v>
      </c>
      <c r="E160" s="252">
        <f>F160/1.2*0.2</f>
        <v>96.666666666666686</v>
      </c>
      <c r="F160" s="252">
        <v>580</v>
      </c>
      <c r="G160" s="252">
        <v>579</v>
      </c>
      <c r="H160" s="304">
        <f>G160*$H$8</f>
        <v>627.63600000000008</v>
      </c>
      <c r="I160" s="304">
        <f>ROUND(H160,0)</f>
        <v>628</v>
      </c>
      <c r="L160" s="195"/>
    </row>
    <row r="161" spans="1:12" customFormat="1" ht="15.75" customHeight="1" outlineLevel="2" x14ac:dyDescent="0.2">
      <c r="A161" s="214" t="s">
        <v>3322</v>
      </c>
      <c r="B161" s="70" t="s">
        <v>3272</v>
      </c>
      <c r="C161" s="212" t="s">
        <v>557</v>
      </c>
      <c r="D161" s="252">
        <f>F161-E161</f>
        <v>525</v>
      </c>
      <c r="E161" s="252">
        <f>F161/1.2*0.2</f>
        <v>105</v>
      </c>
      <c r="F161" s="252">
        <v>630</v>
      </c>
      <c r="G161" s="252">
        <v>617</v>
      </c>
      <c r="H161" s="304">
        <f>G161*$H$8</f>
        <v>668.82800000000009</v>
      </c>
      <c r="I161" s="304">
        <f>ROUND(H161,0)</f>
        <v>669</v>
      </c>
      <c r="L161" s="195"/>
    </row>
    <row r="162" spans="1:12" customFormat="1" ht="15.75" customHeight="1" outlineLevel="2" x14ac:dyDescent="0.2">
      <c r="A162" s="214" t="s">
        <v>3323</v>
      </c>
      <c r="B162" s="70" t="s">
        <v>3276</v>
      </c>
      <c r="C162" s="212" t="s">
        <v>557</v>
      </c>
      <c r="D162" s="252">
        <f>F162-E162</f>
        <v>579.16666666666663</v>
      </c>
      <c r="E162" s="252">
        <f>F162/1.2*0.2</f>
        <v>115.83333333333336</v>
      </c>
      <c r="F162" s="252">
        <v>695</v>
      </c>
      <c r="G162" s="252">
        <v>626</v>
      </c>
      <c r="H162" s="304">
        <f>G162*$H$8</f>
        <v>678.58400000000006</v>
      </c>
      <c r="I162" s="304">
        <f>ROUND(H162,0)</f>
        <v>679</v>
      </c>
      <c r="L162" s="195"/>
    </row>
    <row r="163" spans="1:12" customFormat="1" ht="15.75" customHeight="1" outlineLevel="2" x14ac:dyDescent="0.2">
      <c r="A163" s="214" t="s">
        <v>3324</v>
      </c>
      <c r="B163" s="70" t="s">
        <v>3278</v>
      </c>
      <c r="C163" s="212" t="s">
        <v>557</v>
      </c>
      <c r="D163" s="252">
        <f>F163-E163</f>
        <v>708.33333333333326</v>
      </c>
      <c r="E163" s="252">
        <f>F163/1.2*0.2</f>
        <v>141.66666666666669</v>
      </c>
      <c r="F163" s="252">
        <v>850</v>
      </c>
      <c r="G163" s="252">
        <v>822</v>
      </c>
      <c r="H163" s="304">
        <f>G163*$H$8</f>
        <v>891.04800000000012</v>
      </c>
      <c r="I163" s="304">
        <f>ROUND(H163,0)</f>
        <v>891</v>
      </c>
      <c r="L163" s="195"/>
    </row>
    <row r="164" spans="1:12" customFormat="1" ht="15.75" customHeight="1" outlineLevel="2" x14ac:dyDescent="0.2">
      <c r="A164" s="214" t="s">
        <v>3325</v>
      </c>
      <c r="B164" s="70" t="s">
        <v>3279</v>
      </c>
      <c r="C164" s="332"/>
      <c r="D164" s="118"/>
      <c r="E164" s="118"/>
      <c r="F164" s="118"/>
      <c r="G164" s="118"/>
      <c r="H164" s="304"/>
      <c r="I164" s="304"/>
      <c r="L164" s="195"/>
    </row>
    <row r="165" spans="1:12" customFormat="1" ht="15.75" customHeight="1" outlineLevel="2" x14ac:dyDescent="0.2">
      <c r="A165" s="214" t="s">
        <v>3326</v>
      </c>
      <c r="B165" s="70" t="s">
        <v>3270</v>
      </c>
      <c r="C165" s="332" t="s">
        <v>557</v>
      </c>
      <c r="D165" s="252">
        <f>F165-E165</f>
        <v>404.16666666666663</v>
      </c>
      <c r="E165" s="252">
        <f>F165/1.2*0.2</f>
        <v>80.833333333333343</v>
      </c>
      <c r="F165" s="118">
        <v>485</v>
      </c>
      <c r="G165" s="118"/>
      <c r="H165" s="304"/>
      <c r="I165" s="304"/>
      <c r="L165" s="195"/>
    </row>
    <row r="166" spans="1:12" customFormat="1" ht="15.75" customHeight="1" outlineLevel="2" x14ac:dyDescent="0.2">
      <c r="A166" s="214" t="s">
        <v>3329</v>
      </c>
      <c r="B166" s="70" t="s">
        <v>3280</v>
      </c>
      <c r="C166" s="332" t="s">
        <v>557</v>
      </c>
      <c r="D166" s="252">
        <f t="shared" ref="D166:D170" si="16">F166-E166</f>
        <v>437.5</v>
      </c>
      <c r="E166" s="252">
        <f t="shared" ref="E166:E183" si="17">F166/1.2*0.2</f>
        <v>87.5</v>
      </c>
      <c r="F166" s="118">
        <v>525</v>
      </c>
      <c r="G166" s="118"/>
      <c r="H166" s="304"/>
      <c r="I166" s="304"/>
      <c r="L166" s="195"/>
    </row>
    <row r="167" spans="1:12" customFormat="1" ht="15.75" customHeight="1" outlineLevel="2" x14ac:dyDescent="0.2">
      <c r="A167" s="214" t="s">
        <v>3330</v>
      </c>
      <c r="B167" s="70" t="s">
        <v>3281</v>
      </c>
      <c r="C167" s="332" t="s">
        <v>557</v>
      </c>
      <c r="D167" s="252">
        <f t="shared" si="16"/>
        <v>454.16666666666663</v>
      </c>
      <c r="E167" s="252">
        <f t="shared" si="17"/>
        <v>90.833333333333343</v>
      </c>
      <c r="F167" s="118">
        <v>545</v>
      </c>
      <c r="G167" s="118"/>
      <c r="H167" s="304"/>
      <c r="I167" s="304"/>
      <c r="L167" s="195"/>
    </row>
    <row r="168" spans="1:12" customFormat="1" ht="15.75" customHeight="1" outlineLevel="2" x14ac:dyDescent="0.2">
      <c r="A168" s="214" t="s">
        <v>3331</v>
      </c>
      <c r="B168" s="70" t="s">
        <v>3272</v>
      </c>
      <c r="C168" s="332" t="s">
        <v>557</v>
      </c>
      <c r="D168" s="252">
        <f t="shared" si="16"/>
        <v>512.5</v>
      </c>
      <c r="E168" s="252">
        <f t="shared" si="17"/>
        <v>102.5</v>
      </c>
      <c r="F168" s="118">
        <v>615</v>
      </c>
      <c r="G168" s="118"/>
      <c r="H168" s="304"/>
      <c r="I168" s="304"/>
      <c r="L168" s="195"/>
    </row>
    <row r="169" spans="1:12" customFormat="1" ht="15.75" customHeight="1" outlineLevel="2" x14ac:dyDescent="0.2">
      <c r="A169" s="214" t="s">
        <v>3332</v>
      </c>
      <c r="B169" s="70" t="s">
        <v>3276</v>
      </c>
      <c r="C169" s="332" t="s">
        <v>557</v>
      </c>
      <c r="D169" s="252">
        <f t="shared" si="16"/>
        <v>516.66666666666663</v>
      </c>
      <c r="E169" s="252">
        <f t="shared" si="17"/>
        <v>103.33333333333336</v>
      </c>
      <c r="F169" s="118">
        <v>620</v>
      </c>
      <c r="G169" s="118"/>
      <c r="H169" s="304"/>
      <c r="I169" s="304"/>
      <c r="L169" s="195"/>
    </row>
    <row r="170" spans="1:12" customFormat="1" ht="15.75" customHeight="1" outlineLevel="2" x14ac:dyDescent="0.2">
      <c r="A170" s="214" t="s">
        <v>3333</v>
      </c>
      <c r="B170" s="70" t="s">
        <v>3278</v>
      </c>
      <c r="C170" s="332" t="s">
        <v>557</v>
      </c>
      <c r="D170" s="252">
        <f t="shared" si="16"/>
        <v>558.33333333333326</v>
      </c>
      <c r="E170" s="252">
        <f t="shared" si="17"/>
        <v>111.66666666666669</v>
      </c>
      <c r="F170" s="118">
        <v>670</v>
      </c>
      <c r="G170" s="118"/>
      <c r="H170" s="304"/>
      <c r="I170" s="304"/>
      <c r="L170" s="195"/>
    </row>
    <row r="171" spans="1:12" customFormat="1" ht="15.75" customHeight="1" outlineLevel="2" x14ac:dyDescent="0.2">
      <c r="A171" s="214" t="s">
        <v>3327</v>
      </c>
      <c r="B171" s="70" t="s">
        <v>3282</v>
      </c>
      <c r="C171" s="332"/>
      <c r="D171" s="118"/>
      <c r="E171" s="118"/>
      <c r="F171" s="118"/>
      <c r="G171" s="118"/>
      <c r="H171" s="304"/>
      <c r="I171" s="304"/>
      <c r="L171" s="195"/>
    </row>
    <row r="172" spans="1:12" customFormat="1" ht="15.75" customHeight="1" outlineLevel="2" x14ac:dyDescent="0.2">
      <c r="A172" s="214" t="s">
        <v>3334</v>
      </c>
      <c r="B172" s="70" t="s">
        <v>3283</v>
      </c>
      <c r="C172" s="332" t="s">
        <v>557</v>
      </c>
      <c r="D172" s="252">
        <f t="shared" ref="D172:D177" si="18">F172-E172</f>
        <v>512.5</v>
      </c>
      <c r="E172" s="252">
        <f t="shared" si="17"/>
        <v>102.5</v>
      </c>
      <c r="F172" s="118">
        <v>615</v>
      </c>
      <c r="G172" s="118"/>
      <c r="H172" s="304"/>
      <c r="I172" s="304"/>
      <c r="L172" s="195"/>
    </row>
    <row r="173" spans="1:12" customFormat="1" ht="15.75" customHeight="1" outlineLevel="2" x14ac:dyDescent="0.2">
      <c r="A173" s="214" t="s">
        <v>3335</v>
      </c>
      <c r="B173" s="70" t="s">
        <v>3284</v>
      </c>
      <c r="C173" s="332" t="s">
        <v>557</v>
      </c>
      <c r="D173" s="252">
        <f t="shared" si="18"/>
        <v>587.5</v>
      </c>
      <c r="E173" s="252">
        <f t="shared" si="17"/>
        <v>117.5</v>
      </c>
      <c r="F173" s="118">
        <v>705</v>
      </c>
      <c r="G173" s="118"/>
      <c r="H173" s="304"/>
      <c r="I173" s="304"/>
      <c r="L173" s="195"/>
    </row>
    <row r="174" spans="1:12" customFormat="1" ht="15.75" customHeight="1" outlineLevel="2" x14ac:dyDescent="0.2">
      <c r="A174" s="214" t="s">
        <v>3336</v>
      </c>
      <c r="B174" s="70" t="s">
        <v>3749</v>
      </c>
      <c r="C174" s="332" t="s">
        <v>557</v>
      </c>
      <c r="D174" s="252">
        <f t="shared" si="18"/>
        <v>516.66666666666663</v>
      </c>
      <c r="E174" s="252">
        <f t="shared" si="17"/>
        <v>103.33333333333336</v>
      </c>
      <c r="F174" s="118">
        <v>620</v>
      </c>
      <c r="G174" s="118"/>
      <c r="H174" s="304"/>
      <c r="I174" s="304"/>
      <c r="L174" s="195"/>
    </row>
    <row r="175" spans="1:12" customFormat="1" ht="15.75" customHeight="1" outlineLevel="2" x14ac:dyDescent="0.2">
      <c r="A175" s="214" t="s">
        <v>3337</v>
      </c>
      <c r="B175" s="70" t="s">
        <v>3285</v>
      </c>
      <c r="C175" s="332" t="s">
        <v>557</v>
      </c>
      <c r="D175" s="252">
        <f t="shared" si="18"/>
        <v>600</v>
      </c>
      <c r="E175" s="252">
        <f t="shared" si="17"/>
        <v>120</v>
      </c>
      <c r="F175" s="118">
        <v>720</v>
      </c>
      <c r="G175" s="118"/>
      <c r="H175" s="304"/>
      <c r="I175" s="304"/>
      <c r="L175" s="195"/>
    </row>
    <row r="176" spans="1:12" customFormat="1" ht="15.75" customHeight="1" outlineLevel="2" x14ac:dyDescent="0.2">
      <c r="A176" s="214" t="s">
        <v>3338</v>
      </c>
      <c r="B176" s="70" t="s">
        <v>3286</v>
      </c>
      <c r="C176" s="332" t="s">
        <v>557</v>
      </c>
      <c r="D176" s="252">
        <f t="shared" si="18"/>
        <v>700</v>
      </c>
      <c r="E176" s="252">
        <f t="shared" si="17"/>
        <v>140</v>
      </c>
      <c r="F176" s="118">
        <v>840</v>
      </c>
      <c r="G176" s="118"/>
      <c r="H176" s="304"/>
      <c r="I176" s="304"/>
      <c r="L176" s="195"/>
    </row>
    <row r="177" spans="1:12" customFormat="1" ht="15.75" customHeight="1" outlineLevel="2" x14ac:dyDescent="0.2">
      <c r="A177" s="214" t="s">
        <v>3339</v>
      </c>
      <c r="B177" s="70" t="s">
        <v>3287</v>
      </c>
      <c r="C177" s="332" t="s">
        <v>557</v>
      </c>
      <c r="D177" s="252">
        <f t="shared" si="18"/>
        <v>825</v>
      </c>
      <c r="E177" s="252">
        <f t="shared" si="17"/>
        <v>165</v>
      </c>
      <c r="F177" s="118">
        <v>990</v>
      </c>
      <c r="G177" s="118"/>
      <c r="H177" s="304"/>
      <c r="I177" s="304"/>
      <c r="L177" s="195"/>
    </row>
    <row r="178" spans="1:12" customFormat="1" ht="15.75" customHeight="1" outlineLevel="2" x14ac:dyDescent="0.2">
      <c r="A178" s="214" t="s">
        <v>3328</v>
      </c>
      <c r="B178" s="70" t="s">
        <v>3288</v>
      </c>
      <c r="C178" s="332"/>
      <c r="D178" s="118"/>
      <c r="E178" s="118"/>
      <c r="F178" s="118"/>
      <c r="G178" s="118"/>
      <c r="H178" s="304"/>
      <c r="I178" s="304"/>
      <c r="L178" s="195"/>
    </row>
    <row r="179" spans="1:12" customFormat="1" ht="15.75" customHeight="1" outlineLevel="2" x14ac:dyDescent="0.2">
      <c r="A179" s="214" t="s">
        <v>3340</v>
      </c>
      <c r="B179" s="70" t="s">
        <v>3270</v>
      </c>
      <c r="C179" s="332" t="s">
        <v>557</v>
      </c>
      <c r="D179" s="252">
        <f t="shared" ref="D179:D183" si="19">F179-E179</f>
        <v>354.16666666666663</v>
      </c>
      <c r="E179" s="252">
        <f t="shared" si="17"/>
        <v>70.833333333333343</v>
      </c>
      <c r="F179" s="118">
        <v>425</v>
      </c>
      <c r="G179" s="118"/>
      <c r="H179" s="304"/>
      <c r="I179" s="304"/>
      <c r="L179" s="195"/>
    </row>
    <row r="180" spans="1:12" customFormat="1" ht="15.75" customHeight="1" outlineLevel="2" x14ac:dyDescent="0.2">
      <c r="A180" s="214" t="s">
        <v>3341</v>
      </c>
      <c r="B180" s="70" t="s">
        <v>3275</v>
      </c>
      <c r="C180" s="332" t="s">
        <v>557</v>
      </c>
      <c r="D180" s="252">
        <f t="shared" si="19"/>
        <v>408.33333333333331</v>
      </c>
      <c r="E180" s="252">
        <f t="shared" si="17"/>
        <v>81.666666666666686</v>
      </c>
      <c r="F180" s="118">
        <v>490</v>
      </c>
      <c r="G180" s="118"/>
      <c r="H180" s="304"/>
      <c r="I180" s="304"/>
      <c r="L180" s="195"/>
    </row>
    <row r="181" spans="1:12" customFormat="1" ht="15.75" customHeight="1" outlineLevel="2" x14ac:dyDescent="0.2">
      <c r="A181" s="214" t="s">
        <v>3342</v>
      </c>
      <c r="B181" s="70" t="s">
        <v>3272</v>
      </c>
      <c r="C181" s="332" t="s">
        <v>557</v>
      </c>
      <c r="D181" s="252">
        <f t="shared" si="19"/>
        <v>450</v>
      </c>
      <c r="E181" s="252">
        <f t="shared" si="17"/>
        <v>90</v>
      </c>
      <c r="F181" s="118">
        <v>540</v>
      </c>
      <c r="G181" s="118"/>
      <c r="H181" s="304"/>
      <c r="I181" s="304"/>
      <c r="L181" s="195"/>
    </row>
    <row r="182" spans="1:12" customFormat="1" ht="15.75" customHeight="1" outlineLevel="2" x14ac:dyDescent="0.2">
      <c r="A182" s="214" t="s">
        <v>3343</v>
      </c>
      <c r="B182" s="70" t="s">
        <v>3276</v>
      </c>
      <c r="C182" s="332" t="s">
        <v>557</v>
      </c>
      <c r="D182" s="252">
        <f t="shared" si="19"/>
        <v>495.83333333333331</v>
      </c>
      <c r="E182" s="252">
        <f t="shared" si="17"/>
        <v>99.166666666666686</v>
      </c>
      <c r="F182" s="118">
        <v>595</v>
      </c>
      <c r="G182" s="118"/>
      <c r="H182" s="304"/>
      <c r="I182" s="304"/>
      <c r="L182" s="195"/>
    </row>
    <row r="183" spans="1:12" customFormat="1" ht="15.75" customHeight="1" outlineLevel="2" x14ac:dyDescent="0.2">
      <c r="A183" s="214" t="s">
        <v>3344</v>
      </c>
      <c r="B183" s="70" t="s">
        <v>3278</v>
      </c>
      <c r="C183" s="332" t="s">
        <v>557</v>
      </c>
      <c r="D183" s="252">
        <f t="shared" si="19"/>
        <v>533.33333333333326</v>
      </c>
      <c r="E183" s="252">
        <f t="shared" si="17"/>
        <v>106.66666666666669</v>
      </c>
      <c r="F183" s="118">
        <v>640</v>
      </c>
      <c r="G183" s="118"/>
      <c r="H183" s="304"/>
      <c r="I183" s="304"/>
      <c r="L183" s="195"/>
    </row>
    <row r="184" spans="1:12" customFormat="1" ht="15.75" customHeight="1" outlineLevel="1" x14ac:dyDescent="0.2">
      <c r="A184" s="215" t="s">
        <v>2199</v>
      </c>
      <c r="B184" s="70" t="s">
        <v>572</v>
      </c>
      <c r="C184" s="107" t="s">
        <v>543</v>
      </c>
      <c r="D184" s="118">
        <f t="shared" si="11"/>
        <v>143.33333333333331</v>
      </c>
      <c r="E184" s="118">
        <f t="shared" si="12"/>
        <v>28.666666666666671</v>
      </c>
      <c r="F184" s="118">
        <f t="shared" si="13"/>
        <v>172</v>
      </c>
      <c r="G184" s="118">
        <f>156/1.18*1.2</f>
        <v>158.64406779661019</v>
      </c>
      <c r="H184" s="304">
        <f t="shared" si="14"/>
        <v>171.97016949152547</v>
      </c>
      <c r="I184" s="304">
        <f t="shared" si="15"/>
        <v>172</v>
      </c>
      <c r="J184" s="330">
        <v>0.18</v>
      </c>
      <c r="L184" s="195"/>
    </row>
    <row r="185" spans="1:12" customFormat="1" ht="15.75" customHeight="1" outlineLevel="1" x14ac:dyDescent="0.2">
      <c r="A185" s="215" t="s">
        <v>2200</v>
      </c>
      <c r="B185" s="70" t="s">
        <v>573</v>
      </c>
      <c r="C185" s="107" t="s">
        <v>543</v>
      </c>
      <c r="D185" s="118">
        <f t="shared" si="11"/>
        <v>240.83333333333331</v>
      </c>
      <c r="E185" s="118">
        <f t="shared" si="12"/>
        <v>48.166666666666671</v>
      </c>
      <c r="F185" s="118">
        <f t="shared" si="13"/>
        <v>289</v>
      </c>
      <c r="G185" s="118">
        <f>251/1.13*1.2</f>
        <v>266.54867256637169</v>
      </c>
      <c r="H185" s="304">
        <f t="shared" si="14"/>
        <v>288.93876106194693</v>
      </c>
      <c r="I185" s="304">
        <f t="shared" si="15"/>
        <v>289</v>
      </c>
      <c r="J185" s="330">
        <v>0.13</v>
      </c>
      <c r="L185" s="195"/>
    </row>
    <row r="186" spans="1:12" customFormat="1" ht="15.75" customHeight="1" outlineLevel="1" x14ac:dyDescent="0.2">
      <c r="A186" s="215" t="s">
        <v>2201</v>
      </c>
      <c r="B186" s="70" t="s">
        <v>574</v>
      </c>
      <c r="C186" s="107" t="s">
        <v>543</v>
      </c>
      <c r="D186" s="118">
        <f t="shared" si="11"/>
        <v>215.83333333333331</v>
      </c>
      <c r="E186" s="118">
        <f t="shared" si="12"/>
        <v>43.166666666666671</v>
      </c>
      <c r="F186" s="118">
        <f t="shared" si="13"/>
        <v>259</v>
      </c>
      <c r="G186" s="118">
        <f>219/1.1*1.2</f>
        <v>238.90909090909088</v>
      </c>
      <c r="H186" s="304">
        <f t="shared" si="14"/>
        <v>258.97745454545452</v>
      </c>
      <c r="I186" s="304">
        <f t="shared" si="15"/>
        <v>259</v>
      </c>
      <c r="J186" s="330">
        <v>0.1</v>
      </c>
      <c r="L186" s="195"/>
    </row>
    <row r="187" spans="1:12" customFormat="1" ht="15.75" customHeight="1" outlineLevel="1" x14ac:dyDescent="0.2">
      <c r="A187" s="215" t="s">
        <v>2202</v>
      </c>
      <c r="B187" s="70" t="s">
        <v>575</v>
      </c>
      <c r="C187" s="107" t="s">
        <v>576</v>
      </c>
      <c r="D187" s="118">
        <f t="shared" si="11"/>
        <v>119.16666666666666</v>
      </c>
      <c r="E187" s="118">
        <f t="shared" si="12"/>
        <v>23.833333333333336</v>
      </c>
      <c r="F187" s="118">
        <f t="shared" si="13"/>
        <v>143</v>
      </c>
      <c r="G187" s="118">
        <f>125/1.14*1.2</f>
        <v>131.57894736842104</v>
      </c>
      <c r="H187" s="304">
        <f t="shared" si="14"/>
        <v>142.63157894736841</v>
      </c>
      <c r="I187" s="304">
        <f t="shared" si="15"/>
        <v>143</v>
      </c>
      <c r="J187" s="330">
        <v>0.14000000000000001</v>
      </c>
      <c r="L187" s="195"/>
    </row>
    <row r="188" spans="1:12" customFormat="1" ht="15.75" customHeight="1" outlineLevel="1" x14ac:dyDescent="0.2">
      <c r="A188" s="215" t="s">
        <v>2203</v>
      </c>
      <c r="B188" s="70" t="s">
        <v>577</v>
      </c>
      <c r="C188" s="107"/>
      <c r="D188" s="118"/>
      <c r="E188" s="118"/>
      <c r="F188" s="118"/>
      <c r="G188" s="118"/>
      <c r="H188" s="304">
        <f t="shared" si="14"/>
        <v>0</v>
      </c>
      <c r="I188" s="304">
        <f t="shared" si="15"/>
        <v>0</v>
      </c>
      <c r="L188" s="195"/>
    </row>
    <row r="189" spans="1:12" customFormat="1" ht="15.75" customHeight="1" outlineLevel="2" x14ac:dyDescent="0.2">
      <c r="A189" s="214" t="s">
        <v>3345</v>
      </c>
      <c r="B189" s="70" t="s">
        <v>990</v>
      </c>
      <c r="C189" s="212" t="s">
        <v>487</v>
      </c>
      <c r="D189" s="118">
        <f t="shared" si="11"/>
        <v>577.5</v>
      </c>
      <c r="E189" s="118">
        <f t="shared" si="12"/>
        <v>115.5</v>
      </c>
      <c r="F189" s="118">
        <f t="shared" si="13"/>
        <v>693</v>
      </c>
      <c r="G189" s="118">
        <f>581/1.09*1.2</f>
        <v>639.63302752293566</v>
      </c>
      <c r="H189" s="304">
        <f t="shared" si="14"/>
        <v>693.36220183486228</v>
      </c>
      <c r="I189" s="304">
        <f t="shared" si="15"/>
        <v>693</v>
      </c>
      <c r="J189" s="330">
        <v>0.09</v>
      </c>
      <c r="L189" s="195"/>
    </row>
    <row r="190" spans="1:12" customFormat="1" ht="15.75" customHeight="1" outlineLevel="2" x14ac:dyDescent="0.2">
      <c r="A190" s="214" t="s">
        <v>3346</v>
      </c>
      <c r="B190" s="70" t="s">
        <v>991</v>
      </c>
      <c r="C190" s="212" t="s">
        <v>487</v>
      </c>
      <c r="D190" s="118">
        <f t="shared" si="11"/>
        <v>790</v>
      </c>
      <c r="E190" s="118">
        <f t="shared" si="12"/>
        <v>158</v>
      </c>
      <c r="F190" s="118">
        <f t="shared" si="13"/>
        <v>948</v>
      </c>
      <c r="G190" s="118">
        <f>787/1.08*1.2</f>
        <v>874.44444444444446</v>
      </c>
      <c r="H190" s="304">
        <f t="shared" si="14"/>
        <v>947.89777777777783</v>
      </c>
      <c r="I190" s="304">
        <f t="shared" si="15"/>
        <v>948</v>
      </c>
      <c r="J190" s="330">
        <v>0.08</v>
      </c>
      <c r="L190" s="195"/>
    </row>
    <row r="191" spans="1:12" customFormat="1" ht="15.75" customHeight="1" outlineLevel="2" x14ac:dyDescent="0.2">
      <c r="A191" s="214" t="s">
        <v>3347</v>
      </c>
      <c r="B191" s="70" t="s">
        <v>992</v>
      </c>
      <c r="C191" s="212" t="s">
        <v>487</v>
      </c>
      <c r="D191" s="118">
        <f t="shared" si="11"/>
        <v>852.5</v>
      </c>
      <c r="E191" s="118">
        <f t="shared" si="12"/>
        <v>170.5</v>
      </c>
      <c r="F191" s="118">
        <f t="shared" si="13"/>
        <v>1023</v>
      </c>
      <c r="G191" s="118">
        <f>912/1.16*1.2</f>
        <v>943.44827586206895</v>
      </c>
      <c r="H191" s="304">
        <f t="shared" si="14"/>
        <v>1022.6979310344828</v>
      </c>
      <c r="I191" s="304">
        <f t="shared" si="15"/>
        <v>1023</v>
      </c>
      <c r="J191" s="330">
        <v>0.16</v>
      </c>
      <c r="L191" s="195"/>
    </row>
    <row r="192" spans="1:12" customFormat="1" ht="15.75" customHeight="1" outlineLevel="2" x14ac:dyDescent="0.2">
      <c r="A192" s="214" t="s">
        <v>3348</v>
      </c>
      <c r="B192" s="70" t="s">
        <v>993</v>
      </c>
      <c r="C192" s="212" t="s">
        <v>487</v>
      </c>
      <c r="D192" s="118">
        <f t="shared" si="11"/>
        <v>1255.8333333333333</v>
      </c>
      <c r="E192" s="118">
        <f t="shared" si="12"/>
        <v>251.16666666666671</v>
      </c>
      <c r="F192" s="118">
        <f t="shared" si="13"/>
        <v>1507</v>
      </c>
      <c r="G192" s="118">
        <f>1251/1.08*1.2</f>
        <v>1389.9999999999998</v>
      </c>
      <c r="H192" s="304">
        <f t="shared" si="14"/>
        <v>1506.7599999999998</v>
      </c>
      <c r="I192" s="304">
        <f t="shared" si="15"/>
        <v>1507</v>
      </c>
      <c r="J192" s="330">
        <v>0.08</v>
      </c>
      <c r="L192" s="195"/>
    </row>
    <row r="193" spans="1:12" customFormat="1" ht="15.75" customHeight="1" outlineLevel="1" x14ac:dyDescent="0.2">
      <c r="A193" s="215" t="s">
        <v>2204</v>
      </c>
      <c r="B193" s="70" t="s">
        <v>578</v>
      </c>
      <c r="C193" s="107" t="s">
        <v>579</v>
      </c>
      <c r="D193" s="118">
        <f t="shared" si="11"/>
        <v>169.16666666666666</v>
      </c>
      <c r="E193" s="118">
        <f t="shared" si="12"/>
        <v>33.833333333333336</v>
      </c>
      <c r="F193" s="118">
        <f t="shared" si="13"/>
        <v>203</v>
      </c>
      <c r="G193" s="118">
        <v>187</v>
      </c>
      <c r="H193" s="304">
        <f t="shared" si="14"/>
        <v>202.70800000000003</v>
      </c>
      <c r="I193" s="304">
        <f t="shared" si="15"/>
        <v>203</v>
      </c>
      <c r="J193" s="330">
        <v>0.25</v>
      </c>
      <c r="L193" s="195"/>
    </row>
    <row r="194" spans="1:12" customFormat="1" ht="15.75" customHeight="1" outlineLevel="1" x14ac:dyDescent="0.2">
      <c r="A194" s="215" t="s">
        <v>2205</v>
      </c>
      <c r="B194" s="70" t="s">
        <v>581</v>
      </c>
      <c r="C194" s="107" t="s">
        <v>487</v>
      </c>
      <c r="D194" s="118">
        <f t="shared" si="11"/>
        <v>199.16666666666666</v>
      </c>
      <c r="E194" s="118">
        <f t="shared" si="12"/>
        <v>39.833333333333343</v>
      </c>
      <c r="F194" s="118">
        <f t="shared" si="13"/>
        <v>239</v>
      </c>
      <c r="G194" s="118">
        <f>219/1.19*1.2</f>
        <v>220.84033613445379</v>
      </c>
      <c r="H194" s="304">
        <f t="shared" si="14"/>
        <v>239.39092436974792</v>
      </c>
      <c r="I194" s="304">
        <f t="shared" si="15"/>
        <v>239</v>
      </c>
      <c r="J194" s="330">
        <v>0.19</v>
      </c>
      <c r="L194" s="195"/>
    </row>
    <row r="195" spans="1:12" customFormat="1" ht="15.75" customHeight="1" outlineLevel="1" x14ac:dyDescent="0.2">
      <c r="A195" s="215" t="s">
        <v>2206</v>
      </c>
      <c r="B195" s="70" t="s">
        <v>3114</v>
      </c>
      <c r="C195" s="107" t="s">
        <v>3069</v>
      </c>
      <c r="D195" s="118">
        <f t="shared" si="11"/>
        <v>150.83333333333331</v>
      </c>
      <c r="E195" s="118">
        <f t="shared" si="12"/>
        <v>30.166666666666671</v>
      </c>
      <c r="F195" s="118">
        <f t="shared" si="13"/>
        <v>181</v>
      </c>
      <c r="G195" s="118">
        <f>150/1.08*1.2</f>
        <v>166.66666666666666</v>
      </c>
      <c r="H195" s="304">
        <f t="shared" si="14"/>
        <v>180.66666666666666</v>
      </c>
      <c r="I195" s="304">
        <f t="shared" si="15"/>
        <v>181</v>
      </c>
      <c r="J195" s="330">
        <v>0.08</v>
      </c>
      <c r="L195" s="195"/>
    </row>
    <row r="196" spans="1:12" customFormat="1" ht="31.5" outlineLevel="1" x14ac:dyDescent="0.2">
      <c r="A196" s="215" t="s">
        <v>2207</v>
      </c>
      <c r="B196" s="70" t="s">
        <v>583</v>
      </c>
      <c r="C196" s="230" t="s">
        <v>487</v>
      </c>
      <c r="D196" s="118">
        <f t="shared" si="11"/>
        <v>510</v>
      </c>
      <c r="E196" s="118">
        <f t="shared" si="12"/>
        <v>102</v>
      </c>
      <c r="F196" s="118">
        <f t="shared" si="13"/>
        <v>612</v>
      </c>
      <c r="G196" s="118">
        <f>522/1.11*1.2</f>
        <v>564.32432432432427</v>
      </c>
      <c r="H196" s="304">
        <f t="shared" si="14"/>
        <v>611.72756756756758</v>
      </c>
      <c r="I196" s="304">
        <f t="shared" si="15"/>
        <v>612</v>
      </c>
      <c r="J196" s="330">
        <v>0.11</v>
      </c>
      <c r="L196" s="195"/>
    </row>
    <row r="197" spans="1:12" customFormat="1" ht="31.5" customHeight="1" outlineLevel="1" x14ac:dyDescent="0.2">
      <c r="A197" s="215" t="s">
        <v>2208</v>
      </c>
      <c r="B197" s="70" t="s">
        <v>1556</v>
      </c>
      <c r="C197" s="107"/>
      <c r="D197" s="118"/>
      <c r="E197" s="118"/>
      <c r="F197" s="118"/>
      <c r="G197" s="118"/>
      <c r="H197" s="304">
        <f t="shared" si="14"/>
        <v>0</v>
      </c>
      <c r="I197" s="304">
        <f t="shared" si="15"/>
        <v>0</v>
      </c>
      <c r="L197" s="195"/>
    </row>
    <row r="198" spans="1:12" customFormat="1" ht="15.75" customHeight="1" outlineLevel="2" x14ac:dyDescent="0.2">
      <c r="A198" s="214" t="s">
        <v>3349</v>
      </c>
      <c r="B198" s="70" t="s">
        <v>1273</v>
      </c>
      <c r="C198" s="213"/>
      <c r="D198" s="118"/>
      <c r="E198" s="118"/>
      <c r="F198" s="118"/>
      <c r="G198" s="118"/>
      <c r="H198" s="304">
        <f t="shared" si="14"/>
        <v>0</v>
      </c>
      <c r="I198" s="304">
        <f t="shared" si="15"/>
        <v>0</v>
      </c>
      <c r="L198" s="195"/>
    </row>
    <row r="199" spans="1:12" customFormat="1" ht="15.75" customHeight="1" outlineLevel="3" x14ac:dyDescent="0.2">
      <c r="A199" s="214" t="s">
        <v>3350</v>
      </c>
      <c r="B199" s="70" t="s">
        <v>585</v>
      </c>
      <c r="C199" s="212" t="s">
        <v>487</v>
      </c>
      <c r="D199" s="118">
        <f t="shared" si="11"/>
        <v>525.83333333333326</v>
      </c>
      <c r="E199" s="118">
        <f t="shared" si="12"/>
        <v>105.16666666666669</v>
      </c>
      <c r="F199" s="118">
        <f t="shared" si="13"/>
        <v>631</v>
      </c>
      <c r="G199" s="118">
        <f>524/1.08*1.2</f>
        <v>582.22222222222217</v>
      </c>
      <c r="H199" s="304">
        <f t="shared" si="14"/>
        <v>631.12888888888892</v>
      </c>
      <c r="I199" s="304">
        <f t="shared" si="15"/>
        <v>631</v>
      </c>
      <c r="J199" s="330">
        <v>0.08</v>
      </c>
      <c r="L199" s="195"/>
    </row>
    <row r="200" spans="1:12" customFormat="1" ht="15.75" customHeight="1" outlineLevel="3" x14ac:dyDescent="0.2">
      <c r="A200" s="214" t="s">
        <v>3351</v>
      </c>
      <c r="B200" s="70" t="s">
        <v>586</v>
      </c>
      <c r="C200" s="212" t="s">
        <v>487</v>
      </c>
      <c r="D200" s="118">
        <f t="shared" si="11"/>
        <v>420.83333333333331</v>
      </c>
      <c r="E200" s="118">
        <f t="shared" si="12"/>
        <v>84.166666666666686</v>
      </c>
      <c r="F200" s="118">
        <f t="shared" si="13"/>
        <v>505</v>
      </c>
      <c r="G200" s="118">
        <f>400/1.03*1.2</f>
        <v>466.01941747572812</v>
      </c>
      <c r="H200" s="304">
        <f t="shared" si="14"/>
        <v>505.1650485436893</v>
      </c>
      <c r="I200" s="304">
        <f t="shared" si="15"/>
        <v>505</v>
      </c>
      <c r="J200" s="330">
        <v>0.03</v>
      </c>
      <c r="L200" s="195"/>
    </row>
    <row r="201" spans="1:12" customFormat="1" ht="31.5" customHeight="1" outlineLevel="3" x14ac:dyDescent="0.2">
      <c r="A201" s="214" t="s">
        <v>3352</v>
      </c>
      <c r="B201" s="70" t="s">
        <v>3568</v>
      </c>
      <c r="C201" s="212" t="s">
        <v>487</v>
      </c>
      <c r="D201" s="118">
        <f t="shared" si="11"/>
        <v>706.66666666666663</v>
      </c>
      <c r="E201" s="118">
        <f t="shared" si="12"/>
        <v>141.33333333333334</v>
      </c>
      <c r="F201" s="118">
        <f t="shared" si="13"/>
        <v>848</v>
      </c>
      <c r="G201" s="118">
        <f>678/1.04*1.2</f>
        <v>782.30769230769226</v>
      </c>
      <c r="H201" s="304">
        <f t="shared" si="14"/>
        <v>848.02153846153851</v>
      </c>
      <c r="I201" s="304">
        <f t="shared" si="15"/>
        <v>848</v>
      </c>
      <c r="J201" s="330">
        <v>0.04</v>
      </c>
      <c r="L201" s="195"/>
    </row>
    <row r="202" spans="1:12" customFormat="1" ht="15.75" customHeight="1" outlineLevel="3" x14ac:dyDescent="0.2">
      <c r="A202" s="214" t="s">
        <v>3353</v>
      </c>
      <c r="B202" s="70" t="s">
        <v>3751</v>
      </c>
      <c r="C202" s="212" t="s">
        <v>487</v>
      </c>
      <c r="D202" s="118">
        <f t="shared" si="11"/>
        <v>420.83333333333331</v>
      </c>
      <c r="E202" s="118">
        <f t="shared" si="12"/>
        <v>84.166666666666686</v>
      </c>
      <c r="F202" s="118">
        <f t="shared" si="13"/>
        <v>505</v>
      </c>
      <c r="G202" s="118">
        <f>400/1.03*1.2</f>
        <v>466.01941747572812</v>
      </c>
      <c r="H202" s="304">
        <f t="shared" si="14"/>
        <v>505.1650485436893</v>
      </c>
      <c r="I202" s="304">
        <f t="shared" si="15"/>
        <v>505</v>
      </c>
      <c r="J202" s="330">
        <v>0.03</v>
      </c>
      <c r="L202" s="195"/>
    </row>
    <row r="203" spans="1:12" customFormat="1" ht="15.75" customHeight="1" outlineLevel="3" x14ac:dyDescent="0.2">
      <c r="A203" s="214" t="s">
        <v>3354</v>
      </c>
      <c r="B203" s="70" t="s">
        <v>3752</v>
      </c>
      <c r="C203" s="212" t="s">
        <v>487</v>
      </c>
      <c r="D203" s="118">
        <f t="shared" si="11"/>
        <v>500.83333333333331</v>
      </c>
      <c r="E203" s="118">
        <f t="shared" si="12"/>
        <v>100.16666666666669</v>
      </c>
      <c r="F203" s="118">
        <v>601</v>
      </c>
      <c r="G203" s="118">
        <v>463</v>
      </c>
      <c r="H203" s="304">
        <f t="shared" si="14"/>
        <v>501.89200000000005</v>
      </c>
      <c r="I203" s="304">
        <f t="shared" si="15"/>
        <v>502</v>
      </c>
      <c r="J203" s="330">
        <v>0.12</v>
      </c>
      <c r="L203" s="195"/>
    </row>
    <row r="204" spans="1:12" customFormat="1" ht="31.5" customHeight="1" outlineLevel="3" x14ac:dyDescent="0.2">
      <c r="A204" s="214" t="s">
        <v>3355</v>
      </c>
      <c r="B204" s="70" t="s">
        <v>3753</v>
      </c>
      <c r="C204" s="212" t="s">
        <v>487</v>
      </c>
      <c r="D204" s="118">
        <f t="shared" si="11"/>
        <v>965.83333333333326</v>
      </c>
      <c r="E204" s="118">
        <f t="shared" si="12"/>
        <v>193.16666666666669</v>
      </c>
      <c r="F204" s="118">
        <v>1159</v>
      </c>
      <c r="G204" s="118">
        <f>772/1.18*1.2</f>
        <v>785.08474576271192</v>
      </c>
      <c r="H204" s="304">
        <f t="shared" si="14"/>
        <v>851.03186440677973</v>
      </c>
      <c r="I204" s="304">
        <f t="shared" si="15"/>
        <v>851</v>
      </c>
      <c r="J204" s="330">
        <v>0.18</v>
      </c>
      <c r="L204" s="195"/>
    </row>
    <row r="205" spans="1:12" customFormat="1" ht="15.75" customHeight="1" outlineLevel="2" x14ac:dyDescent="0.2">
      <c r="A205" s="214" t="s">
        <v>3356</v>
      </c>
      <c r="B205" s="70" t="s">
        <v>1274</v>
      </c>
      <c r="C205" s="213"/>
      <c r="D205" s="118"/>
      <c r="E205" s="118"/>
      <c r="F205" s="118"/>
      <c r="G205" s="118"/>
      <c r="H205" s="304">
        <f t="shared" si="14"/>
        <v>0</v>
      </c>
      <c r="I205" s="304">
        <f t="shared" si="15"/>
        <v>0</v>
      </c>
      <c r="L205" s="195"/>
    </row>
    <row r="206" spans="1:12" customFormat="1" ht="31.5" customHeight="1" outlineLevel="3" x14ac:dyDescent="0.2">
      <c r="A206" s="214" t="s">
        <v>3357</v>
      </c>
      <c r="B206" s="70" t="s">
        <v>1729</v>
      </c>
      <c r="C206" s="212" t="s">
        <v>487</v>
      </c>
      <c r="D206" s="118">
        <f t="shared" si="11"/>
        <v>756.66666666666663</v>
      </c>
      <c r="E206" s="118">
        <f t="shared" si="12"/>
        <v>151.33333333333334</v>
      </c>
      <c r="F206" s="118">
        <f t="shared" si="13"/>
        <v>908</v>
      </c>
      <c r="G206" s="118">
        <f>726/1.04*1.2</f>
        <v>837.69230769230774</v>
      </c>
      <c r="H206" s="304">
        <f t="shared" si="14"/>
        <v>908.05846153846164</v>
      </c>
      <c r="I206" s="304">
        <f t="shared" si="15"/>
        <v>908</v>
      </c>
      <c r="J206" s="330">
        <v>0.04</v>
      </c>
      <c r="L206" s="195"/>
    </row>
    <row r="207" spans="1:12" customFormat="1" ht="31.5" customHeight="1" outlineLevel="3" x14ac:dyDescent="0.2">
      <c r="A207" s="214" t="s">
        <v>3358</v>
      </c>
      <c r="B207" s="70" t="s">
        <v>1730</v>
      </c>
      <c r="C207" s="212" t="s">
        <v>487</v>
      </c>
      <c r="D207" s="118">
        <f t="shared" si="11"/>
        <v>803.33333333333326</v>
      </c>
      <c r="E207" s="118">
        <f t="shared" si="12"/>
        <v>160.66666666666669</v>
      </c>
      <c r="F207" s="118">
        <f t="shared" si="13"/>
        <v>964</v>
      </c>
      <c r="G207" s="118">
        <f>793/1.07*1.2</f>
        <v>889.3457943925232</v>
      </c>
      <c r="H207" s="304">
        <f t="shared" si="14"/>
        <v>964.05084112149518</v>
      </c>
      <c r="I207" s="304">
        <f t="shared" si="15"/>
        <v>964</v>
      </c>
      <c r="J207" s="330">
        <v>7.0000000000000007E-2</v>
      </c>
      <c r="L207" s="195"/>
    </row>
    <row r="208" spans="1:12" customFormat="1" ht="51" customHeight="1" outlineLevel="2" x14ac:dyDescent="0.2">
      <c r="A208" s="214" t="s">
        <v>3359</v>
      </c>
      <c r="B208" s="70" t="s">
        <v>3748</v>
      </c>
      <c r="C208" s="212" t="s">
        <v>487</v>
      </c>
      <c r="D208" s="118">
        <f t="shared" si="11"/>
        <v>641.66666666666663</v>
      </c>
      <c r="E208" s="118">
        <f t="shared" si="12"/>
        <v>128.33333333333334</v>
      </c>
      <c r="F208" s="118">
        <v>770</v>
      </c>
      <c r="G208" s="118">
        <v>582</v>
      </c>
      <c r="H208" s="304">
        <f t="shared" si="14"/>
        <v>630.88800000000003</v>
      </c>
      <c r="I208" s="304">
        <f t="shared" si="15"/>
        <v>631</v>
      </c>
      <c r="L208" s="195"/>
    </row>
    <row r="209" spans="1:12" customFormat="1" ht="15.75" customHeight="1" outlineLevel="2" x14ac:dyDescent="0.2">
      <c r="A209" s="214" t="s">
        <v>3360</v>
      </c>
      <c r="B209" s="70" t="s">
        <v>1555</v>
      </c>
      <c r="C209" s="212" t="s">
        <v>487</v>
      </c>
      <c r="D209" s="118">
        <v>383.33</v>
      </c>
      <c r="E209" s="118">
        <v>76.67</v>
      </c>
      <c r="F209" s="118">
        <v>460</v>
      </c>
      <c r="G209" s="118">
        <v>286</v>
      </c>
      <c r="H209" s="304">
        <f t="shared" si="14"/>
        <v>310.024</v>
      </c>
      <c r="I209" s="304">
        <f t="shared" si="15"/>
        <v>310</v>
      </c>
      <c r="L209" s="195"/>
    </row>
    <row r="210" spans="1:12" customFormat="1" ht="15.75" customHeight="1" outlineLevel="2" x14ac:dyDescent="0.2">
      <c r="A210" s="214" t="s">
        <v>3361</v>
      </c>
      <c r="B210" s="70" t="s">
        <v>1597</v>
      </c>
      <c r="C210" s="212" t="s">
        <v>487</v>
      </c>
      <c r="D210" s="118">
        <f t="shared" si="11"/>
        <v>454.16666666666663</v>
      </c>
      <c r="E210" s="118">
        <f t="shared" si="12"/>
        <v>90.833333333333343</v>
      </c>
      <c r="F210" s="118">
        <f t="shared" si="13"/>
        <v>545</v>
      </c>
      <c r="G210" s="118">
        <v>503</v>
      </c>
      <c r="H210" s="304">
        <f t="shared" si="14"/>
        <v>545.25200000000007</v>
      </c>
      <c r="I210" s="304">
        <f t="shared" si="15"/>
        <v>545</v>
      </c>
      <c r="L210" s="195"/>
    </row>
    <row r="211" spans="1:12" customFormat="1" ht="15.75" customHeight="1" outlineLevel="2" x14ac:dyDescent="0.2">
      <c r="A211" s="214" t="s">
        <v>3362</v>
      </c>
      <c r="B211" s="70" t="s">
        <v>1598</v>
      </c>
      <c r="C211" s="212" t="s">
        <v>487</v>
      </c>
      <c r="D211" s="118">
        <f t="shared" si="11"/>
        <v>304.16666666666663</v>
      </c>
      <c r="E211" s="118">
        <f t="shared" si="12"/>
        <v>60.833333333333343</v>
      </c>
      <c r="F211" s="118">
        <f t="shared" si="13"/>
        <v>365</v>
      </c>
      <c r="G211" s="118">
        <v>337</v>
      </c>
      <c r="H211" s="304">
        <f t="shared" si="14"/>
        <v>365.30800000000005</v>
      </c>
      <c r="I211" s="304">
        <f t="shared" si="15"/>
        <v>365</v>
      </c>
      <c r="L211" s="195"/>
    </row>
    <row r="212" spans="1:12" customFormat="1" ht="15.75" customHeight="1" outlineLevel="2" x14ac:dyDescent="0.2">
      <c r="A212" s="214" t="s">
        <v>3363</v>
      </c>
      <c r="B212" s="70" t="s">
        <v>2305</v>
      </c>
      <c r="C212" s="213"/>
      <c r="D212" s="118"/>
      <c r="E212" s="118"/>
      <c r="F212" s="118"/>
      <c r="G212" s="118"/>
      <c r="H212" s="304">
        <f t="shared" si="14"/>
        <v>0</v>
      </c>
      <c r="I212" s="304">
        <f t="shared" si="15"/>
        <v>0</v>
      </c>
      <c r="L212" s="195"/>
    </row>
    <row r="213" spans="1:12" customFormat="1" ht="31.5" customHeight="1" outlineLevel="3" x14ac:dyDescent="0.2">
      <c r="A213" s="214" t="s">
        <v>3364</v>
      </c>
      <c r="B213" s="70" t="s">
        <v>3754</v>
      </c>
      <c r="C213" s="213" t="s">
        <v>487</v>
      </c>
      <c r="D213" s="118">
        <f t="shared" si="11"/>
        <v>745.83333333333326</v>
      </c>
      <c r="E213" s="118">
        <f t="shared" si="12"/>
        <v>149.16666666666669</v>
      </c>
      <c r="F213" s="118">
        <v>895</v>
      </c>
      <c r="G213" s="118">
        <v>524</v>
      </c>
      <c r="H213" s="304">
        <f t="shared" si="14"/>
        <v>568.01600000000008</v>
      </c>
      <c r="I213" s="304">
        <f t="shared" si="15"/>
        <v>568</v>
      </c>
      <c r="L213" s="195"/>
    </row>
    <row r="214" spans="1:12" customFormat="1" ht="31.5" customHeight="1" outlineLevel="3" x14ac:dyDescent="0.2">
      <c r="A214" s="214" t="s">
        <v>3365</v>
      </c>
      <c r="B214" s="70" t="s">
        <v>3755</v>
      </c>
      <c r="C214" s="213" t="s">
        <v>487</v>
      </c>
      <c r="D214" s="118">
        <f t="shared" si="11"/>
        <v>818.33333333333326</v>
      </c>
      <c r="E214" s="118">
        <f t="shared" si="12"/>
        <v>163.66666666666669</v>
      </c>
      <c r="F214" s="118">
        <v>982</v>
      </c>
      <c r="G214" s="118">
        <v>586</v>
      </c>
      <c r="H214" s="304">
        <f t="shared" si="14"/>
        <v>635.22400000000005</v>
      </c>
      <c r="I214" s="304">
        <f t="shared" si="15"/>
        <v>635</v>
      </c>
      <c r="L214" s="195"/>
    </row>
    <row r="215" spans="1:12" customFormat="1" ht="15.75" customHeight="1" outlineLevel="2" collapsed="1" x14ac:dyDescent="0.2">
      <c r="A215" s="214" t="s">
        <v>3366</v>
      </c>
      <c r="B215" s="70" t="s">
        <v>2306</v>
      </c>
      <c r="C215" s="213"/>
      <c r="D215" s="118"/>
      <c r="E215" s="118"/>
      <c r="F215" s="118"/>
      <c r="G215" s="118"/>
      <c r="H215" s="304">
        <f t="shared" si="14"/>
        <v>0</v>
      </c>
      <c r="I215" s="304">
        <f t="shared" si="15"/>
        <v>0</v>
      </c>
      <c r="L215" s="195"/>
    </row>
    <row r="216" spans="1:12" customFormat="1" ht="15.75" hidden="1" customHeight="1" outlineLevel="3" x14ac:dyDescent="0.2">
      <c r="A216" s="214" t="s">
        <v>2703</v>
      </c>
      <c r="B216" s="266" t="s">
        <v>1702</v>
      </c>
      <c r="C216" s="267" t="s">
        <v>487</v>
      </c>
      <c r="D216" s="118">
        <f t="shared" si="11"/>
        <v>457.5</v>
      </c>
      <c r="E216" s="118">
        <f t="shared" si="12"/>
        <v>91.5</v>
      </c>
      <c r="F216" s="118">
        <f t="shared" si="13"/>
        <v>549</v>
      </c>
      <c r="G216" s="268">
        <v>506</v>
      </c>
      <c r="H216" s="304">
        <f t="shared" si="14"/>
        <v>548.50400000000002</v>
      </c>
      <c r="I216" s="304">
        <f t="shared" si="15"/>
        <v>549</v>
      </c>
      <c r="J216" t="s">
        <v>3173</v>
      </c>
      <c r="L216" s="195"/>
    </row>
    <row r="217" spans="1:12" customFormat="1" ht="15.75" hidden="1" customHeight="1" outlineLevel="3" x14ac:dyDescent="0.2">
      <c r="A217" s="214" t="s">
        <v>2704</v>
      </c>
      <c r="B217" s="266" t="s">
        <v>1703</v>
      </c>
      <c r="C217" s="267" t="s">
        <v>487</v>
      </c>
      <c r="D217" s="118">
        <f t="shared" si="11"/>
        <v>520</v>
      </c>
      <c r="E217" s="118">
        <f t="shared" si="12"/>
        <v>104</v>
      </c>
      <c r="F217" s="118">
        <f t="shared" si="13"/>
        <v>624</v>
      </c>
      <c r="G217" s="268">
        <v>576</v>
      </c>
      <c r="H217" s="304">
        <f t="shared" si="14"/>
        <v>624.38400000000001</v>
      </c>
      <c r="I217" s="304">
        <f t="shared" si="15"/>
        <v>624</v>
      </c>
      <c r="L217" s="195"/>
    </row>
    <row r="218" spans="1:12" customFormat="1" ht="15.75" customHeight="1" outlineLevel="3" x14ac:dyDescent="0.2">
      <c r="A218" s="214" t="s">
        <v>3367</v>
      </c>
      <c r="B218" s="181" t="s">
        <v>3228</v>
      </c>
      <c r="C218" s="264" t="s">
        <v>487</v>
      </c>
      <c r="D218" s="118">
        <f t="shared" si="11"/>
        <v>745.83333333333326</v>
      </c>
      <c r="E218" s="118">
        <f t="shared" si="12"/>
        <v>149.16666666666669</v>
      </c>
      <c r="F218" s="118">
        <v>895</v>
      </c>
      <c r="G218" s="118">
        <v>775</v>
      </c>
      <c r="H218" s="304">
        <f t="shared" si="14"/>
        <v>840.1</v>
      </c>
      <c r="I218" s="304">
        <f t="shared" si="15"/>
        <v>840</v>
      </c>
      <c r="J218" t="s">
        <v>3227</v>
      </c>
      <c r="L218" s="195"/>
    </row>
    <row r="219" spans="1:12" customFormat="1" ht="15.75" customHeight="1" outlineLevel="3" x14ac:dyDescent="0.2">
      <c r="A219" s="214" t="s">
        <v>3368</v>
      </c>
      <c r="B219" s="181" t="s">
        <v>3229</v>
      </c>
      <c r="C219" s="264" t="s">
        <v>487</v>
      </c>
      <c r="D219" s="118">
        <f t="shared" si="11"/>
        <v>837.5</v>
      </c>
      <c r="E219" s="118">
        <f t="shared" si="12"/>
        <v>167.5</v>
      </c>
      <c r="F219" s="118">
        <v>1005</v>
      </c>
      <c r="G219" s="118">
        <v>865</v>
      </c>
      <c r="H219" s="304">
        <f t="shared" si="14"/>
        <v>937.66000000000008</v>
      </c>
      <c r="I219" s="304">
        <f t="shared" si="15"/>
        <v>938</v>
      </c>
      <c r="L219" s="195"/>
    </row>
    <row r="220" spans="1:12" customFormat="1" ht="15.75" customHeight="1" outlineLevel="3" x14ac:dyDescent="0.2">
      <c r="A220" s="214" t="s">
        <v>3369</v>
      </c>
      <c r="B220" s="70" t="s">
        <v>1710</v>
      </c>
      <c r="C220" s="212" t="s">
        <v>487</v>
      </c>
      <c r="D220" s="118">
        <f t="shared" si="11"/>
        <v>365</v>
      </c>
      <c r="E220" s="118">
        <f t="shared" si="12"/>
        <v>73</v>
      </c>
      <c r="F220" s="118">
        <f t="shared" si="13"/>
        <v>438</v>
      </c>
      <c r="G220" s="118">
        <v>404</v>
      </c>
      <c r="H220" s="304">
        <f t="shared" si="14"/>
        <v>437.93600000000004</v>
      </c>
      <c r="I220" s="304">
        <f t="shared" si="15"/>
        <v>438</v>
      </c>
      <c r="L220" s="195"/>
    </row>
    <row r="221" spans="1:12" customFormat="1" ht="16.5" customHeight="1" outlineLevel="1" x14ac:dyDescent="0.2">
      <c r="A221" s="215" t="s">
        <v>2209</v>
      </c>
      <c r="B221" s="70" t="s">
        <v>3779</v>
      </c>
      <c r="C221" s="107" t="s">
        <v>487</v>
      </c>
      <c r="D221" s="118">
        <f t="shared" si="11"/>
        <v>915.83333333333326</v>
      </c>
      <c r="E221" s="118">
        <f t="shared" si="12"/>
        <v>183.16666666666669</v>
      </c>
      <c r="F221" s="118">
        <v>1099</v>
      </c>
      <c r="G221" s="118">
        <f>803/1.19*1.2</f>
        <v>809.74789915966392</v>
      </c>
      <c r="H221" s="304">
        <f t="shared" si="14"/>
        <v>877.76672268907578</v>
      </c>
      <c r="I221" s="304">
        <f t="shared" si="15"/>
        <v>878</v>
      </c>
      <c r="J221" s="330">
        <v>0.19</v>
      </c>
      <c r="L221" s="195"/>
    </row>
    <row r="222" spans="1:12" customFormat="1" ht="16.5" customHeight="1" outlineLevel="1" x14ac:dyDescent="0.2">
      <c r="A222" s="215" t="s">
        <v>3780</v>
      </c>
      <c r="B222" s="70" t="s">
        <v>3781</v>
      </c>
      <c r="C222" s="377" t="s">
        <v>487</v>
      </c>
      <c r="D222" s="118">
        <f t="shared" ref="D222" si="20">F222-E222</f>
        <v>1045</v>
      </c>
      <c r="E222" s="118">
        <f t="shared" ref="E222" si="21">F222/1.2*0.2</f>
        <v>209</v>
      </c>
      <c r="F222" s="118">
        <v>1254</v>
      </c>
      <c r="G222" s="118"/>
      <c r="H222" s="304"/>
      <c r="I222" s="304"/>
      <c r="J222" s="330"/>
      <c r="L222" s="195"/>
    </row>
    <row r="223" spans="1:12" customFormat="1" ht="15.75" customHeight="1" outlineLevel="1" x14ac:dyDescent="0.2">
      <c r="A223" s="215" t="s">
        <v>2210</v>
      </c>
      <c r="B223" s="70" t="s">
        <v>1211</v>
      </c>
      <c r="C223" s="107" t="s">
        <v>487</v>
      </c>
      <c r="D223" s="118">
        <f t="shared" si="11"/>
        <v>583.33333333333326</v>
      </c>
      <c r="E223" s="118">
        <f t="shared" si="12"/>
        <v>116.66666666666669</v>
      </c>
      <c r="F223" s="118">
        <v>700</v>
      </c>
      <c r="G223" s="118">
        <f>494/1.1*1.2</f>
        <v>538.90909090909088</v>
      </c>
      <c r="H223" s="304">
        <f t="shared" si="14"/>
        <v>584.17745454545457</v>
      </c>
      <c r="I223" s="304">
        <f t="shared" si="15"/>
        <v>584</v>
      </c>
      <c r="J223" s="330">
        <v>0.1</v>
      </c>
      <c r="L223" s="195"/>
    </row>
    <row r="224" spans="1:12" customFormat="1" ht="15.75" customHeight="1" outlineLevel="1" x14ac:dyDescent="0.2">
      <c r="A224" s="215" t="s">
        <v>2211</v>
      </c>
      <c r="B224" s="70" t="s">
        <v>592</v>
      </c>
      <c r="C224" s="107" t="s">
        <v>487</v>
      </c>
      <c r="D224" s="118">
        <f t="shared" si="11"/>
        <v>448.33333333333331</v>
      </c>
      <c r="E224" s="118">
        <f t="shared" si="12"/>
        <v>89.666666666666686</v>
      </c>
      <c r="F224" s="118">
        <f t="shared" si="13"/>
        <v>538</v>
      </c>
      <c r="G224" s="118">
        <f>463/1.12*1.2</f>
        <v>496.0714285714285</v>
      </c>
      <c r="H224" s="304">
        <f t="shared" si="14"/>
        <v>537.74142857142851</v>
      </c>
      <c r="I224" s="304">
        <f t="shared" si="15"/>
        <v>538</v>
      </c>
      <c r="J224" s="330">
        <v>0.12</v>
      </c>
      <c r="L224" s="195"/>
    </row>
    <row r="225" spans="1:12" customFormat="1" ht="15.75" customHeight="1" outlineLevel="1" x14ac:dyDescent="0.2">
      <c r="A225" s="215" t="s">
        <v>2212</v>
      </c>
      <c r="B225" s="70" t="s">
        <v>593</v>
      </c>
      <c r="C225" s="107" t="s">
        <v>487</v>
      </c>
      <c r="D225" s="118">
        <f t="shared" si="11"/>
        <v>764.16666666666663</v>
      </c>
      <c r="E225" s="118">
        <f t="shared" si="12"/>
        <v>152.83333333333334</v>
      </c>
      <c r="F225" s="118">
        <v>917</v>
      </c>
      <c r="G225" s="118">
        <f>617/1.05*1.2</f>
        <v>705.14285714285711</v>
      </c>
      <c r="H225" s="304">
        <f t="shared" si="14"/>
        <v>764.37485714285719</v>
      </c>
      <c r="I225" s="304">
        <f t="shared" si="15"/>
        <v>764</v>
      </c>
      <c r="J225" s="330">
        <v>0.05</v>
      </c>
      <c r="L225" s="195"/>
    </row>
    <row r="226" spans="1:12" customFormat="1" ht="15.75" customHeight="1" outlineLevel="1" x14ac:dyDescent="0.2">
      <c r="A226" s="215" t="s">
        <v>2213</v>
      </c>
      <c r="B226" s="70" t="s">
        <v>594</v>
      </c>
      <c r="C226" s="107" t="s">
        <v>487</v>
      </c>
      <c r="D226" s="118">
        <f t="shared" si="11"/>
        <v>866.66666666666663</v>
      </c>
      <c r="E226" s="118">
        <f t="shared" si="12"/>
        <v>173.33333333333337</v>
      </c>
      <c r="F226" s="118">
        <v>1040</v>
      </c>
      <c r="G226" s="118">
        <f>740/1.11*1.2</f>
        <v>799.99999999999989</v>
      </c>
      <c r="H226" s="304">
        <f t="shared" si="14"/>
        <v>867.19999999999993</v>
      </c>
      <c r="I226" s="304">
        <f t="shared" si="15"/>
        <v>867</v>
      </c>
      <c r="J226" s="330">
        <v>0.11</v>
      </c>
      <c r="L226" s="195"/>
    </row>
    <row r="227" spans="1:12" customFormat="1" ht="15.75" customHeight="1" outlineLevel="1" x14ac:dyDescent="0.2">
      <c r="A227" s="215" t="s">
        <v>2214</v>
      </c>
      <c r="B227" s="70" t="s">
        <v>1212</v>
      </c>
      <c r="C227" s="107" t="s">
        <v>487</v>
      </c>
      <c r="D227" s="118">
        <f t="shared" si="11"/>
        <v>486.66666666666663</v>
      </c>
      <c r="E227" s="118">
        <f t="shared" si="12"/>
        <v>97.333333333333343</v>
      </c>
      <c r="F227" s="118">
        <f t="shared" si="13"/>
        <v>584</v>
      </c>
      <c r="G227" s="118">
        <f>494/1.1*1.2</f>
        <v>538.90909090909088</v>
      </c>
      <c r="H227" s="304">
        <f t="shared" si="14"/>
        <v>584.17745454545457</v>
      </c>
      <c r="I227" s="304">
        <f t="shared" si="15"/>
        <v>584</v>
      </c>
      <c r="J227" s="330">
        <v>0.1</v>
      </c>
      <c r="L227" s="195"/>
    </row>
    <row r="228" spans="1:12" customFormat="1" ht="15.75" customHeight="1" outlineLevel="1" x14ac:dyDescent="0.2">
      <c r="A228" s="215" t="s">
        <v>2215</v>
      </c>
      <c r="B228" s="145" t="s">
        <v>3230</v>
      </c>
      <c r="C228" s="264"/>
      <c r="D228" s="118"/>
      <c r="E228" s="118"/>
      <c r="F228" s="118"/>
      <c r="G228" s="118"/>
      <c r="H228" s="304">
        <f>G228*$H$8</f>
        <v>0</v>
      </c>
      <c r="I228" s="304">
        <f>ROUND(H228,0)</f>
        <v>0</v>
      </c>
      <c r="J228" t="s">
        <v>3226</v>
      </c>
      <c r="L228" s="195"/>
    </row>
    <row r="229" spans="1:12" customFormat="1" ht="15.75" customHeight="1" outlineLevel="1" x14ac:dyDescent="0.2">
      <c r="A229" s="215" t="s">
        <v>3370</v>
      </c>
      <c r="B229" s="145" t="s">
        <v>3232</v>
      </c>
      <c r="C229" s="264" t="s">
        <v>487</v>
      </c>
      <c r="D229" s="118">
        <f>F229-E229</f>
        <v>776.66666666666663</v>
      </c>
      <c r="E229" s="118">
        <f>F229/1.2*0.2</f>
        <v>155.33333333333337</v>
      </c>
      <c r="F229" s="118">
        <f>I229</f>
        <v>932</v>
      </c>
      <c r="G229" s="118">
        <v>860</v>
      </c>
      <c r="H229" s="304">
        <f>G229*$H$8</f>
        <v>932.24</v>
      </c>
      <c r="I229" s="304">
        <f>ROUND(H229,0)</f>
        <v>932</v>
      </c>
      <c r="L229" s="195"/>
    </row>
    <row r="230" spans="1:12" customFormat="1" ht="15.75" customHeight="1" outlineLevel="1" x14ac:dyDescent="0.2">
      <c r="A230" s="215" t="s">
        <v>3371</v>
      </c>
      <c r="B230" s="145" t="s">
        <v>3233</v>
      </c>
      <c r="C230" s="264" t="s">
        <v>487</v>
      </c>
      <c r="D230" s="118">
        <f>F230-E230</f>
        <v>894.16666666666663</v>
      </c>
      <c r="E230" s="118">
        <f>F230/1.2*0.2</f>
        <v>178.83333333333337</v>
      </c>
      <c r="F230" s="118">
        <f>I230</f>
        <v>1073</v>
      </c>
      <c r="G230" s="118">
        <v>990</v>
      </c>
      <c r="H230" s="304">
        <f>G230*$H$8</f>
        <v>1073.1600000000001</v>
      </c>
      <c r="I230" s="304">
        <f>ROUND(H230,0)</f>
        <v>1073</v>
      </c>
      <c r="L230" s="195"/>
    </row>
    <row r="231" spans="1:12" customFormat="1" ht="15.75" customHeight="1" outlineLevel="1" x14ac:dyDescent="0.2">
      <c r="A231" s="215" t="s">
        <v>2216</v>
      </c>
      <c r="B231" s="70" t="s">
        <v>595</v>
      </c>
      <c r="C231" s="107"/>
      <c r="D231" s="118"/>
      <c r="E231" s="118"/>
      <c r="F231" s="118"/>
      <c r="G231" s="118"/>
      <c r="H231" s="304">
        <f t="shared" si="14"/>
        <v>0</v>
      </c>
      <c r="I231" s="304">
        <f t="shared" si="15"/>
        <v>0</v>
      </c>
      <c r="L231" s="195"/>
    </row>
    <row r="232" spans="1:12" customFormat="1" ht="15.75" customHeight="1" outlineLevel="2" x14ac:dyDescent="0.2">
      <c r="A232" s="214" t="s">
        <v>3372</v>
      </c>
      <c r="B232" s="70" t="s">
        <v>596</v>
      </c>
      <c r="C232" s="212" t="s">
        <v>487</v>
      </c>
      <c r="D232" s="118">
        <f t="shared" si="11"/>
        <v>162.5</v>
      </c>
      <c r="E232" s="118">
        <f t="shared" si="12"/>
        <v>32.5</v>
      </c>
      <c r="F232" s="118">
        <f t="shared" si="13"/>
        <v>195</v>
      </c>
      <c r="G232" s="118">
        <f>153/1.02*1.2</f>
        <v>180</v>
      </c>
      <c r="H232" s="304">
        <f t="shared" si="14"/>
        <v>195.12</v>
      </c>
      <c r="I232" s="304">
        <f t="shared" si="15"/>
        <v>195</v>
      </c>
      <c r="J232" s="330">
        <v>0.02</v>
      </c>
      <c r="L232" s="195"/>
    </row>
    <row r="233" spans="1:12" customFormat="1" ht="15.75" customHeight="1" outlineLevel="2" x14ac:dyDescent="0.2">
      <c r="A233" s="214" t="s">
        <v>3373</v>
      </c>
      <c r="B233" s="70" t="s">
        <v>597</v>
      </c>
      <c r="C233" s="212" t="s">
        <v>487</v>
      </c>
      <c r="D233" s="118">
        <f t="shared" si="11"/>
        <v>192.5</v>
      </c>
      <c r="E233" s="118">
        <f t="shared" si="12"/>
        <v>38.5</v>
      </c>
      <c r="F233" s="118">
        <f t="shared" si="13"/>
        <v>231</v>
      </c>
      <c r="G233" s="118">
        <f>185/1.04*1.2</f>
        <v>213.46153846153845</v>
      </c>
      <c r="H233" s="304">
        <f t="shared" si="14"/>
        <v>231.3923076923077</v>
      </c>
      <c r="I233" s="304">
        <f t="shared" si="15"/>
        <v>231</v>
      </c>
      <c r="J233" s="330">
        <v>0.04</v>
      </c>
      <c r="L233" s="195"/>
    </row>
    <row r="234" spans="1:12" customFormat="1" ht="15.75" customHeight="1" outlineLevel="1" x14ac:dyDescent="0.2">
      <c r="A234" s="215" t="s">
        <v>2217</v>
      </c>
      <c r="B234" s="70" t="s">
        <v>1529</v>
      </c>
      <c r="C234" s="107"/>
      <c r="D234" s="118"/>
      <c r="E234" s="118"/>
      <c r="F234" s="118"/>
      <c r="G234" s="118"/>
      <c r="H234" s="304">
        <f t="shared" si="14"/>
        <v>0</v>
      </c>
      <c r="I234" s="304">
        <f t="shared" si="15"/>
        <v>0</v>
      </c>
      <c r="L234" s="195"/>
    </row>
    <row r="235" spans="1:12" customFormat="1" ht="15.75" customHeight="1" outlineLevel="2" x14ac:dyDescent="0.2">
      <c r="A235" s="214" t="s">
        <v>3374</v>
      </c>
      <c r="B235" s="70" t="s">
        <v>1733</v>
      </c>
      <c r="C235" s="212" t="s">
        <v>499</v>
      </c>
      <c r="D235" s="118">
        <f t="shared" si="11"/>
        <v>316.66666666666663</v>
      </c>
      <c r="E235" s="118">
        <f t="shared" si="12"/>
        <v>63.333333333333343</v>
      </c>
      <c r="F235" s="118">
        <f t="shared" si="13"/>
        <v>380</v>
      </c>
      <c r="G235" s="118">
        <f>339/1.16*1.2</f>
        <v>350.68965517241378</v>
      </c>
      <c r="H235" s="304">
        <f t="shared" si="14"/>
        <v>380.14758620689656</v>
      </c>
      <c r="I235" s="304">
        <f t="shared" si="15"/>
        <v>380</v>
      </c>
      <c r="J235" s="330">
        <v>0.16</v>
      </c>
      <c r="L235" s="195"/>
    </row>
    <row r="236" spans="1:12" customFormat="1" ht="15.75" customHeight="1" outlineLevel="2" x14ac:dyDescent="0.2">
      <c r="A236" s="214" t="s">
        <v>3375</v>
      </c>
      <c r="B236" s="70" t="s">
        <v>1732</v>
      </c>
      <c r="C236" s="212" t="s">
        <v>499</v>
      </c>
      <c r="D236" s="118">
        <f t="shared" si="11"/>
        <v>187.5</v>
      </c>
      <c r="E236" s="118">
        <f t="shared" si="12"/>
        <v>37.5</v>
      </c>
      <c r="F236" s="118">
        <f t="shared" si="13"/>
        <v>225</v>
      </c>
      <c r="G236" s="118">
        <f>185/1.07*1.2</f>
        <v>207.47663551401868</v>
      </c>
      <c r="H236" s="304">
        <f t="shared" si="14"/>
        <v>224.90467289719626</v>
      </c>
      <c r="I236" s="304">
        <f t="shared" si="15"/>
        <v>225</v>
      </c>
      <c r="J236" s="330">
        <v>7.0000000000000007E-2</v>
      </c>
      <c r="L236" s="195"/>
    </row>
    <row r="237" spans="1:12" customFormat="1" ht="15.75" customHeight="1" outlineLevel="2" x14ac:dyDescent="0.2">
      <c r="A237" s="214" t="s">
        <v>3376</v>
      </c>
      <c r="B237" s="70" t="s">
        <v>1731</v>
      </c>
      <c r="C237" s="212" t="s">
        <v>499</v>
      </c>
      <c r="D237" s="118">
        <f t="shared" ref="D237:D285" si="22">F237-E237</f>
        <v>370</v>
      </c>
      <c r="E237" s="118">
        <f t="shared" ref="E237:E297" si="23">F237/1.2*0.2</f>
        <v>74</v>
      </c>
      <c r="F237" s="118">
        <f t="shared" ref="F237:F297" si="24">I237</f>
        <v>444</v>
      </c>
      <c r="G237" s="118">
        <v>410</v>
      </c>
      <c r="H237" s="304">
        <f t="shared" ref="H237:H297" si="25">G237*$H$8</f>
        <v>444.44000000000005</v>
      </c>
      <c r="I237" s="304">
        <f t="shared" ref="I237:I297" si="26">ROUND(H237,0)</f>
        <v>444</v>
      </c>
      <c r="L237" s="195"/>
    </row>
    <row r="238" spans="1:12" customFormat="1" ht="31.5" customHeight="1" outlineLevel="1" x14ac:dyDescent="0.2">
      <c r="A238" s="215" t="s">
        <v>2218</v>
      </c>
      <c r="B238" s="70" t="s">
        <v>601</v>
      </c>
      <c r="C238" s="107" t="s">
        <v>487</v>
      </c>
      <c r="D238" s="118">
        <f t="shared" si="22"/>
        <v>2212.5</v>
      </c>
      <c r="E238" s="118">
        <f t="shared" si="23"/>
        <v>442.5</v>
      </c>
      <c r="F238" s="118">
        <f t="shared" si="24"/>
        <v>2655</v>
      </c>
      <c r="G238" s="118">
        <f>2347/1.15*1.2</f>
        <v>2449.0434782608695</v>
      </c>
      <c r="H238" s="304">
        <f t="shared" si="25"/>
        <v>2654.7631304347829</v>
      </c>
      <c r="I238" s="304">
        <f t="shared" si="26"/>
        <v>2655</v>
      </c>
      <c r="J238" s="330">
        <v>0.15</v>
      </c>
      <c r="L238" s="195"/>
    </row>
    <row r="239" spans="1:12" customFormat="1" ht="15.75" customHeight="1" outlineLevel="1" x14ac:dyDescent="0.2">
      <c r="A239" s="215" t="s">
        <v>2219</v>
      </c>
      <c r="B239" s="70" t="s">
        <v>602</v>
      </c>
      <c r="C239" s="107" t="s">
        <v>487</v>
      </c>
      <c r="D239" s="118">
        <f t="shared" si="22"/>
        <v>637.5</v>
      </c>
      <c r="E239" s="118">
        <f t="shared" si="23"/>
        <v>127.5</v>
      </c>
      <c r="F239" s="118">
        <v>765</v>
      </c>
      <c r="G239" s="118">
        <f>591/1.12*1.2</f>
        <v>633.21428571428555</v>
      </c>
      <c r="H239" s="304">
        <f t="shared" si="25"/>
        <v>686.40428571428561</v>
      </c>
      <c r="I239" s="304">
        <f t="shared" si="26"/>
        <v>686</v>
      </c>
      <c r="J239" s="330">
        <v>0.12</v>
      </c>
      <c r="L239" s="195"/>
    </row>
    <row r="240" spans="1:12" customFormat="1" ht="15.75" customHeight="1" outlineLevel="1" x14ac:dyDescent="0.2">
      <c r="A240" s="215" t="s">
        <v>2220</v>
      </c>
      <c r="B240" s="70" t="s">
        <v>1213</v>
      </c>
      <c r="C240" s="107" t="s">
        <v>487</v>
      </c>
      <c r="D240" s="118">
        <f t="shared" si="22"/>
        <v>159.16666666666666</v>
      </c>
      <c r="E240" s="118">
        <f t="shared" si="23"/>
        <v>31.833333333333339</v>
      </c>
      <c r="F240" s="118">
        <f t="shared" si="24"/>
        <v>191</v>
      </c>
      <c r="G240" s="118">
        <f>167/1.14*1.2</f>
        <v>175.78947368421055</v>
      </c>
      <c r="H240" s="304">
        <f t="shared" si="25"/>
        <v>190.55578947368426</v>
      </c>
      <c r="I240" s="304">
        <f t="shared" si="26"/>
        <v>191</v>
      </c>
      <c r="J240" s="330">
        <v>0.14000000000000001</v>
      </c>
      <c r="L240" s="195"/>
    </row>
    <row r="241" spans="1:12" customFormat="1" ht="31.5" customHeight="1" outlineLevel="1" x14ac:dyDescent="0.2">
      <c r="A241" s="215" t="s">
        <v>2221</v>
      </c>
      <c r="B241" s="70" t="s">
        <v>1214</v>
      </c>
      <c r="C241" s="107" t="s">
        <v>487</v>
      </c>
      <c r="D241" s="118">
        <f t="shared" si="22"/>
        <v>90.833333333333329</v>
      </c>
      <c r="E241" s="118">
        <f>F241/1.2*0.2</f>
        <v>18.166666666666668</v>
      </c>
      <c r="F241" s="118">
        <f t="shared" si="24"/>
        <v>109</v>
      </c>
      <c r="G241" s="118">
        <f>94/1.12*1.2</f>
        <v>100.71428571428569</v>
      </c>
      <c r="H241" s="304">
        <f t="shared" si="25"/>
        <v>109.1742857142857</v>
      </c>
      <c r="I241" s="304">
        <f t="shared" si="26"/>
        <v>109</v>
      </c>
      <c r="J241" s="330">
        <v>0.12</v>
      </c>
      <c r="L241" s="195"/>
    </row>
    <row r="242" spans="1:12" customFormat="1" ht="31.5" customHeight="1" outlineLevel="1" x14ac:dyDescent="0.2">
      <c r="A242" s="215" t="s">
        <v>2222</v>
      </c>
      <c r="B242" s="70" t="s">
        <v>2170</v>
      </c>
      <c r="C242" s="211" t="s">
        <v>487</v>
      </c>
      <c r="D242" s="118">
        <f>F242-E242</f>
        <v>193.33333333333331</v>
      </c>
      <c r="E242" s="118">
        <f>F242/1.2*0.2</f>
        <v>38.666666666666671</v>
      </c>
      <c r="F242" s="118">
        <f>I242</f>
        <v>232</v>
      </c>
      <c r="G242" s="118">
        <v>214</v>
      </c>
      <c r="H242" s="304">
        <f>G242*$H$8</f>
        <v>231.97600000000003</v>
      </c>
      <c r="I242" s="304">
        <f>ROUND(H242,0)</f>
        <v>232</v>
      </c>
      <c r="L242" s="195"/>
    </row>
    <row r="243" spans="1:12" customFormat="1" ht="31.5" customHeight="1" outlineLevel="1" x14ac:dyDescent="0.2">
      <c r="A243" s="215" t="s">
        <v>2223</v>
      </c>
      <c r="B243" s="70" t="s">
        <v>603</v>
      </c>
      <c r="C243" s="107" t="s">
        <v>966</v>
      </c>
      <c r="D243" s="118">
        <f t="shared" si="22"/>
        <v>603.33333333333326</v>
      </c>
      <c r="E243" s="118">
        <f t="shared" si="23"/>
        <v>120.66666666666669</v>
      </c>
      <c r="F243" s="118">
        <f t="shared" si="24"/>
        <v>724</v>
      </c>
      <c r="G243" s="118">
        <f>579/1.04*1.2</f>
        <v>668.07692307692298</v>
      </c>
      <c r="H243" s="304">
        <f t="shared" si="25"/>
        <v>724.19538461538457</v>
      </c>
      <c r="I243" s="304">
        <f t="shared" si="26"/>
        <v>724</v>
      </c>
      <c r="J243" s="330">
        <v>0.04</v>
      </c>
      <c r="L243" s="195"/>
    </row>
    <row r="244" spans="1:12" customFormat="1" ht="31.5" customHeight="1" outlineLevel="1" x14ac:dyDescent="0.2">
      <c r="A244" s="215" t="s">
        <v>2224</v>
      </c>
      <c r="B244" s="70" t="s">
        <v>605</v>
      </c>
      <c r="C244" s="107"/>
      <c r="D244" s="118"/>
      <c r="E244" s="118"/>
      <c r="F244" s="118"/>
      <c r="G244" s="118"/>
      <c r="H244" s="304">
        <f t="shared" si="25"/>
        <v>0</v>
      </c>
      <c r="I244" s="304">
        <f t="shared" si="26"/>
        <v>0</v>
      </c>
      <c r="L244" s="195"/>
    </row>
    <row r="245" spans="1:12" customFormat="1" ht="15.75" customHeight="1" outlineLevel="2" x14ac:dyDescent="0.2">
      <c r="A245" s="214" t="s">
        <v>3377</v>
      </c>
      <c r="B245" s="70" t="s">
        <v>607</v>
      </c>
      <c r="C245" s="212" t="s">
        <v>606</v>
      </c>
      <c r="D245" s="118">
        <f t="shared" si="22"/>
        <v>603.33333333333326</v>
      </c>
      <c r="E245" s="118">
        <f t="shared" si="23"/>
        <v>120.66666666666669</v>
      </c>
      <c r="F245" s="118">
        <f t="shared" si="24"/>
        <v>724</v>
      </c>
      <c r="G245" s="118">
        <f>579/1.04*1.2</f>
        <v>668.07692307692298</v>
      </c>
      <c r="H245" s="304">
        <f t="shared" si="25"/>
        <v>724.19538461538457</v>
      </c>
      <c r="I245" s="304">
        <f t="shared" si="26"/>
        <v>724</v>
      </c>
      <c r="J245" s="330">
        <v>0.04</v>
      </c>
      <c r="L245" s="195"/>
    </row>
    <row r="246" spans="1:12" customFormat="1" ht="15.75" customHeight="1" outlineLevel="2" x14ac:dyDescent="0.2">
      <c r="A246" s="214" t="s">
        <v>3378</v>
      </c>
      <c r="B246" s="70" t="s">
        <v>608</v>
      </c>
      <c r="C246" s="212" t="s">
        <v>606</v>
      </c>
      <c r="D246" s="118">
        <f t="shared" si="22"/>
        <v>870.83333333333326</v>
      </c>
      <c r="E246" s="118">
        <f t="shared" si="23"/>
        <v>174.16666666666669</v>
      </c>
      <c r="F246" s="118">
        <f t="shared" si="24"/>
        <v>1045</v>
      </c>
      <c r="G246" s="118">
        <f>811/1.01*1.2</f>
        <v>963.5643564356435</v>
      </c>
      <c r="H246" s="304">
        <f t="shared" si="25"/>
        <v>1044.5037623762375</v>
      </c>
      <c r="I246" s="304">
        <f t="shared" si="26"/>
        <v>1045</v>
      </c>
      <c r="J246" s="330">
        <v>0.01</v>
      </c>
      <c r="L246" s="195"/>
    </row>
    <row r="247" spans="1:12" customFormat="1" ht="15.75" customHeight="1" outlineLevel="2" x14ac:dyDescent="0.2">
      <c r="A247" s="214" t="s">
        <v>3379</v>
      </c>
      <c r="B247" s="70" t="s">
        <v>609</v>
      </c>
      <c r="C247" s="212" t="s">
        <v>606</v>
      </c>
      <c r="D247" s="118">
        <f t="shared" si="22"/>
        <v>1884.1666666666665</v>
      </c>
      <c r="E247" s="118">
        <f t="shared" si="23"/>
        <v>376.83333333333337</v>
      </c>
      <c r="F247" s="118">
        <f t="shared" si="24"/>
        <v>2261</v>
      </c>
      <c r="G247" s="118">
        <f>1738*1.2</f>
        <v>2085.6</v>
      </c>
      <c r="H247" s="304">
        <f t="shared" si="25"/>
        <v>2260.7903999999999</v>
      </c>
      <c r="I247" s="304">
        <f t="shared" si="26"/>
        <v>2261</v>
      </c>
      <c r="J247" s="330">
        <v>0</v>
      </c>
      <c r="L247" s="195"/>
    </row>
    <row r="248" spans="1:12" customFormat="1" ht="15.75" customHeight="1" outlineLevel="1" x14ac:dyDescent="0.2">
      <c r="A248" s="215" t="s">
        <v>2225</v>
      </c>
      <c r="B248" s="70" t="s">
        <v>610</v>
      </c>
      <c r="C248" s="107"/>
      <c r="D248" s="118"/>
      <c r="E248" s="118"/>
      <c r="F248" s="118"/>
      <c r="G248" s="118"/>
      <c r="H248" s="304">
        <f t="shared" si="25"/>
        <v>0</v>
      </c>
      <c r="I248" s="304">
        <f t="shared" si="26"/>
        <v>0</v>
      </c>
      <c r="L248" s="195"/>
    </row>
    <row r="249" spans="1:12" customFormat="1" ht="15.75" customHeight="1" outlineLevel="2" x14ac:dyDescent="0.2">
      <c r="A249" s="214" t="s">
        <v>2705</v>
      </c>
      <c r="B249" s="70" t="s">
        <v>611</v>
      </c>
      <c r="C249" s="212" t="s">
        <v>487</v>
      </c>
      <c r="D249" s="118">
        <f t="shared" si="22"/>
        <v>367.5</v>
      </c>
      <c r="E249" s="118">
        <f t="shared" si="23"/>
        <v>73.5</v>
      </c>
      <c r="F249" s="118">
        <f t="shared" si="24"/>
        <v>441</v>
      </c>
      <c r="G249" s="118">
        <v>407</v>
      </c>
      <c r="H249" s="304">
        <f t="shared" si="25"/>
        <v>441.18800000000005</v>
      </c>
      <c r="I249" s="304">
        <f t="shared" si="26"/>
        <v>441</v>
      </c>
      <c r="J249" s="330">
        <v>0.23</v>
      </c>
      <c r="L249" s="195"/>
    </row>
    <row r="250" spans="1:12" customFormat="1" ht="15.75" customHeight="1" outlineLevel="2" x14ac:dyDescent="0.2">
      <c r="A250" s="214" t="s">
        <v>2706</v>
      </c>
      <c r="B250" s="70" t="s">
        <v>612</v>
      </c>
      <c r="C250" s="212" t="s">
        <v>487</v>
      </c>
      <c r="D250" s="118">
        <f t="shared" si="22"/>
        <v>551.66666666666663</v>
      </c>
      <c r="E250" s="118">
        <f t="shared" si="23"/>
        <v>110.33333333333336</v>
      </c>
      <c r="F250" s="118">
        <f t="shared" si="24"/>
        <v>662</v>
      </c>
      <c r="G250" s="118">
        <f>595/1.17*1.2</f>
        <v>610.25641025641028</v>
      </c>
      <c r="H250" s="304">
        <f t="shared" si="25"/>
        <v>661.5179487179488</v>
      </c>
      <c r="I250" s="304">
        <f t="shared" si="26"/>
        <v>662</v>
      </c>
      <c r="J250" s="330">
        <v>0.17</v>
      </c>
      <c r="L250" s="195"/>
    </row>
    <row r="251" spans="1:12" customFormat="1" ht="15.75" customHeight="1" outlineLevel="2" x14ac:dyDescent="0.2">
      <c r="A251" s="214" t="s">
        <v>2707</v>
      </c>
      <c r="B251" s="70" t="s">
        <v>613</v>
      </c>
      <c r="C251" s="212" t="s">
        <v>487</v>
      </c>
      <c r="D251" s="118">
        <f t="shared" si="22"/>
        <v>763.33333333333326</v>
      </c>
      <c r="E251" s="118">
        <f t="shared" si="23"/>
        <v>152.66666666666669</v>
      </c>
      <c r="F251" s="118">
        <f t="shared" si="24"/>
        <v>916</v>
      </c>
      <c r="G251" s="118">
        <v>845</v>
      </c>
      <c r="H251" s="304">
        <f t="shared" si="25"/>
        <v>915.98</v>
      </c>
      <c r="I251" s="304">
        <f t="shared" si="26"/>
        <v>916</v>
      </c>
      <c r="J251" s="330">
        <v>0.24</v>
      </c>
      <c r="L251" s="195"/>
    </row>
    <row r="252" spans="1:12" customFormat="1" ht="15.75" customHeight="1" outlineLevel="2" x14ac:dyDescent="0.2">
      <c r="A252" s="214" t="s">
        <v>2708</v>
      </c>
      <c r="B252" s="70" t="s">
        <v>614</v>
      </c>
      <c r="C252" s="212" t="s">
        <v>487</v>
      </c>
      <c r="D252" s="118">
        <f t="shared" si="22"/>
        <v>1023.3333333333333</v>
      </c>
      <c r="E252" s="118">
        <f t="shared" si="23"/>
        <v>204.66666666666669</v>
      </c>
      <c r="F252" s="118">
        <f t="shared" si="24"/>
        <v>1228</v>
      </c>
      <c r="G252" s="118">
        <f>1095/1.16*1.2</f>
        <v>1132.7586206896553</v>
      </c>
      <c r="H252" s="304">
        <f t="shared" si="25"/>
        <v>1227.9103448275864</v>
      </c>
      <c r="I252" s="304">
        <f t="shared" si="26"/>
        <v>1228</v>
      </c>
      <c r="J252" s="330">
        <v>0.16</v>
      </c>
      <c r="L252" s="195"/>
    </row>
    <row r="253" spans="1:12" customFormat="1" ht="15.75" customHeight="1" outlineLevel="2" x14ac:dyDescent="0.2">
      <c r="A253" s="215" t="s">
        <v>2226</v>
      </c>
      <c r="B253" s="70" t="s">
        <v>3295</v>
      </c>
      <c r="C253" s="332"/>
      <c r="D253" s="118"/>
      <c r="E253" s="118"/>
      <c r="F253" s="118"/>
      <c r="G253" s="118"/>
      <c r="H253" s="304"/>
      <c r="I253" s="304"/>
      <c r="J253" s="330"/>
      <c r="L253" s="195"/>
    </row>
    <row r="254" spans="1:12" customFormat="1" ht="15.75" customHeight="1" outlineLevel="2" x14ac:dyDescent="0.2">
      <c r="A254" s="214" t="s">
        <v>3380</v>
      </c>
      <c r="B254" s="337" t="s">
        <v>3296</v>
      </c>
      <c r="C254" s="332" t="s">
        <v>499</v>
      </c>
      <c r="D254" s="118">
        <f t="shared" ref="D254:D257" si="27">F254-E254</f>
        <v>343.33333333333331</v>
      </c>
      <c r="E254" s="118">
        <f t="shared" ref="E254:E257" si="28">F254/1.2*0.2</f>
        <v>68.666666666666671</v>
      </c>
      <c r="F254" s="118">
        <v>412</v>
      </c>
      <c r="G254" s="118"/>
      <c r="H254" s="304"/>
      <c r="I254" s="304"/>
      <c r="J254" s="330"/>
      <c r="L254" s="195"/>
    </row>
    <row r="255" spans="1:12" customFormat="1" ht="15.75" customHeight="1" outlineLevel="2" x14ac:dyDescent="0.2">
      <c r="A255" s="214" t="s">
        <v>3381</v>
      </c>
      <c r="B255" s="337" t="s">
        <v>3297</v>
      </c>
      <c r="C255" s="332" t="s">
        <v>499</v>
      </c>
      <c r="D255" s="118">
        <f t="shared" si="27"/>
        <v>520.83333333333326</v>
      </c>
      <c r="E255" s="118">
        <f t="shared" si="28"/>
        <v>104.16666666666669</v>
      </c>
      <c r="F255" s="118">
        <v>625</v>
      </c>
      <c r="G255" s="118"/>
      <c r="H255" s="304"/>
      <c r="I255" s="304"/>
      <c r="J255" s="330"/>
      <c r="L255" s="195"/>
    </row>
    <row r="256" spans="1:12" customFormat="1" ht="15.75" customHeight="1" outlineLevel="2" x14ac:dyDescent="0.2">
      <c r="A256" s="214" t="s">
        <v>3382</v>
      </c>
      <c r="B256" s="337" t="s">
        <v>3298</v>
      </c>
      <c r="C256" s="332" t="s">
        <v>499</v>
      </c>
      <c r="D256" s="118">
        <f t="shared" si="27"/>
        <v>575</v>
      </c>
      <c r="E256" s="118">
        <f t="shared" si="28"/>
        <v>115</v>
      </c>
      <c r="F256" s="118">
        <v>690</v>
      </c>
      <c r="G256" s="118"/>
      <c r="H256" s="304"/>
      <c r="I256" s="304"/>
      <c r="J256" s="330"/>
      <c r="L256" s="195"/>
    </row>
    <row r="257" spans="1:12" customFormat="1" ht="15.75" customHeight="1" outlineLevel="2" x14ac:dyDescent="0.2">
      <c r="A257" s="214" t="s">
        <v>3383</v>
      </c>
      <c r="B257" s="337" t="s">
        <v>3299</v>
      </c>
      <c r="C257" s="332" t="s">
        <v>499</v>
      </c>
      <c r="D257" s="118">
        <f t="shared" si="27"/>
        <v>791.66666666666663</v>
      </c>
      <c r="E257" s="118">
        <f t="shared" si="28"/>
        <v>158.33333333333337</v>
      </c>
      <c r="F257" s="118">
        <v>950</v>
      </c>
      <c r="G257" s="118"/>
      <c r="H257" s="304"/>
      <c r="I257" s="304"/>
      <c r="J257" s="330"/>
      <c r="L257" s="195"/>
    </row>
    <row r="258" spans="1:12" customFormat="1" ht="15.75" customHeight="1" outlineLevel="1" x14ac:dyDescent="0.2">
      <c r="A258" s="215" t="s">
        <v>2227</v>
      </c>
      <c r="B258" s="70" t="s">
        <v>615</v>
      </c>
      <c r="C258" s="107"/>
      <c r="D258" s="118"/>
      <c r="E258" s="118"/>
      <c r="F258" s="118"/>
      <c r="G258" s="118"/>
      <c r="H258" s="304">
        <f t="shared" si="25"/>
        <v>0</v>
      </c>
      <c r="I258" s="304">
        <f t="shared" si="26"/>
        <v>0</v>
      </c>
      <c r="L258" s="195"/>
    </row>
    <row r="259" spans="1:12" customFormat="1" ht="15.75" customHeight="1" outlineLevel="2" x14ac:dyDescent="0.2">
      <c r="A259" s="214" t="s">
        <v>2709</v>
      </c>
      <c r="B259" s="70" t="s">
        <v>616</v>
      </c>
      <c r="C259" s="212" t="s">
        <v>487</v>
      </c>
      <c r="D259" s="118">
        <f t="shared" si="22"/>
        <v>164.16666666666666</v>
      </c>
      <c r="E259" s="118">
        <f t="shared" si="23"/>
        <v>32.833333333333336</v>
      </c>
      <c r="F259" s="118">
        <f t="shared" si="24"/>
        <v>197</v>
      </c>
      <c r="G259" s="118">
        <f>156/1.03*1.2</f>
        <v>181.74757281553397</v>
      </c>
      <c r="H259" s="304">
        <f t="shared" si="25"/>
        <v>197.01436893203885</v>
      </c>
      <c r="I259" s="304">
        <f t="shared" si="26"/>
        <v>197</v>
      </c>
      <c r="J259" s="330">
        <v>0.03</v>
      </c>
      <c r="L259" s="195"/>
    </row>
    <row r="260" spans="1:12" customFormat="1" ht="15.75" customHeight="1" outlineLevel="2" x14ac:dyDescent="0.2">
      <c r="A260" s="214" t="s">
        <v>2710</v>
      </c>
      <c r="B260" s="70" t="s">
        <v>617</v>
      </c>
      <c r="C260" s="212" t="s">
        <v>487</v>
      </c>
      <c r="D260" s="118">
        <f t="shared" si="22"/>
        <v>173.33333333333331</v>
      </c>
      <c r="E260" s="118">
        <f t="shared" si="23"/>
        <v>34.666666666666671</v>
      </c>
      <c r="F260" s="118">
        <f t="shared" si="24"/>
        <v>208</v>
      </c>
      <c r="G260" s="118">
        <f>187/1.17*1.2</f>
        <v>191.7948717948718</v>
      </c>
      <c r="H260" s="304">
        <f t="shared" si="25"/>
        <v>207.90564102564105</v>
      </c>
      <c r="I260" s="304">
        <f t="shared" si="26"/>
        <v>208</v>
      </c>
      <c r="J260" s="330">
        <v>0.17</v>
      </c>
      <c r="L260" s="195"/>
    </row>
    <row r="261" spans="1:12" customFormat="1" ht="15.75" customHeight="1" outlineLevel="1" x14ac:dyDescent="0.2">
      <c r="A261" s="215" t="s">
        <v>2228</v>
      </c>
      <c r="B261" s="70" t="s">
        <v>618</v>
      </c>
      <c r="C261" s="107" t="s">
        <v>487</v>
      </c>
      <c r="D261" s="118">
        <f t="shared" si="22"/>
        <v>768.33333333333326</v>
      </c>
      <c r="E261" s="118">
        <f t="shared" si="23"/>
        <v>153.66666666666669</v>
      </c>
      <c r="F261" s="118">
        <f t="shared" si="24"/>
        <v>922</v>
      </c>
      <c r="G261" s="118">
        <f>751/1.06*1.2</f>
        <v>850.18867924528297</v>
      </c>
      <c r="H261" s="304">
        <f t="shared" si="25"/>
        <v>921.60452830188683</v>
      </c>
      <c r="I261" s="304">
        <f t="shared" si="26"/>
        <v>922</v>
      </c>
      <c r="J261" s="330">
        <v>0.06</v>
      </c>
      <c r="L261" s="195"/>
    </row>
    <row r="262" spans="1:12" customFormat="1" ht="15.75" customHeight="1" outlineLevel="1" x14ac:dyDescent="0.2">
      <c r="A262" s="215" t="s">
        <v>2229</v>
      </c>
      <c r="B262" s="70" t="s">
        <v>619</v>
      </c>
      <c r="C262" s="107" t="s">
        <v>487</v>
      </c>
      <c r="D262" s="118">
        <f t="shared" si="22"/>
        <v>1099.1666666666665</v>
      </c>
      <c r="E262" s="118">
        <f t="shared" si="23"/>
        <v>219.83333333333337</v>
      </c>
      <c r="F262" s="118">
        <f t="shared" si="24"/>
        <v>1319</v>
      </c>
      <c r="G262" s="118">
        <f>1095/1.08*1.2</f>
        <v>1216.6666666666665</v>
      </c>
      <c r="H262" s="304">
        <f t="shared" si="25"/>
        <v>1318.8666666666666</v>
      </c>
      <c r="I262" s="304">
        <f t="shared" si="26"/>
        <v>1319</v>
      </c>
      <c r="J262" s="330">
        <v>0.08</v>
      </c>
      <c r="L262" s="195"/>
    </row>
    <row r="263" spans="1:12" s="84" customFormat="1" outlineLevel="1" x14ac:dyDescent="0.25">
      <c r="A263" s="215" t="s">
        <v>2230</v>
      </c>
      <c r="B263" s="70" t="s">
        <v>801</v>
      </c>
      <c r="C263" s="213"/>
      <c r="D263" s="118"/>
      <c r="E263" s="118"/>
      <c r="F263" s="118"/>
      <c r="G263" s="118"/>
      <c r="H263" s="304">
        <f t="shared" si="25"/>
        <v>0</v>
      </c>
      <c r="I263" s="304">
        <f t="shared" si="26"/>
        <v>0</v>
      </c>
      <c r="L263" s="196"/>
    </row>
    <row r="264" spans="1:12" s="84" customFormat="1" outlineLevel="2" x14ac:dyDescent="0.25">
      <c r="A264" s="214" t="s">
        <v>2307</v>
      </c>
      <c r="B264" s="70" t="s">
        <v>802</v>
      </c>
      <c r="C264" s="212" t="s">
        <v>487</v>
      </c>
      <c r="D264" s="118">
        <f t="shared" si="22"/>
        <v>805</v>
      </c>
      <c r="E264" s="118">
        <f t="shared" si="23"/>
        <v>161</v>
      </c>
      <c r="F264" s="118">
        <f t="shared" si="24"/>
        <v>966</v>
      </c>
      <c r="G264" s="118">
        <v>891</v>
      </c>
      <c r="H264" s="304">
        <f t="shared" si="25"/>
        <v>965.84400000000005</v>
      </c>
      <c r="I264" s="304">
        <f t="shared" si="26"/>
        <v>966</v>
      </c>
      <c r="L264" s="196"/>
    </row>
    <row r="265" spans="1:12" s="84" customFormat="1" outlineLevel="2" x14ac:dyDescent="0.25">
      <c r="A265" s="214" t="s">
        <v>2308</v>
      </c>
      <c r="B265" s="70" t="s">
        <v>803</v>
      </c>
      <c r="C265" s="212" t="s">
        <v>487</v>
      </c>
      <c r="D265" s="118">
        <f t="shared" si="22"/>
        <v>1208.3333333333333</v>
      </c>
      <c r="E265" s="118">
        <f t="shared" si="23"/>
        <v>241.66666666666671</v>
      </c>
      <c r="F265" s="118">
        <f t="shared" si="24"/>
        <v>1450</v>
      </c>
      <c r="G265" s="118">
        <v>1338</v>
      </c>
      <c r="H265" s="304">
        <f t="shared" si="25"/>
        <v>1450.3920000000001</v>
      </c>
      <c r="I265" s="304">
        <f t="shared" si="26"/>
        <v>1450</v>
      </c>
      <c r="L265" s="196"/>
    </row>
    <row r="266" spans="1:12" s="84" customFormat="1" outlineLevel="2" x14ac:dyDescent="0.25">
      <c r="A266" s="214" t="s">
        <v>2309</v>
      </c>
      <c r="B266" s="70" t="s">
        <v>804</v>
      </c>
      <c r="C266" s="212" t="s">
        <v>487</v>
      </c>
      <c r="D266" s="118">
        <f t="shared" si="22"/>
        <v>2013.3333333333333</v>
      </c>
      <c r="E266" s="118">
        <f t="shared" si="23"/>
        <v>402.66666666666674</v>
      </c>
      <c r="F266" s="118">
        <f t="shared" si="24"/>
        <v>2416</v>
      </c>
      <c r="G266" s="118">
        <v>2229</v>
      </c>
      <c r="H266" s="304">
        <f t="shared" si="25"/>
        <v>2416.2360000000003</v>
      </c>
      <c r="I266" s="304">
        <f t="shared" si="26"/>
        <v>2416</v>
      </c>
      <c r="L266" s="196"/>
    </row>
    <row r="267" spans="1:12" s="84" customFormat="1" outlineLevel="1" x14ac:dyDescent="0.25">
      <c r="A267" s="215" t="s">
        <v>3053</v>
      </c>
      <c r="B267" s="70" t="s">
        <v>3263</v>
      </c>
      <c r="C267" s="87"/>
      <c r="D267" s="118"/>
      <c r="E267" s="118"/>
      <c r="F267" s="118"/>
      <c r="G267" s="118"/>
      <c r="H267" s="304">
        <f t="shared" si="25"/>
        <v>0</v>
      </c>
      <c r="I267" s="304">
        <f t="shared" si="26"/>
        <v>0</v>
      </c>
      <c r="L267" s="196"/>
    </row>
    <row r="268" spans="1:12" s="84" customFormat="1" outlineLevel="2" x14ac:dyDescent="0.25">
      <c r="A268" s="214" t="s">
        <v>3384</v>
      </c>
      <c r="B268" s="70" t="s">
        <v>806</v>
      </c>
      <c r="C268" s="87" t="s">
        <v>807</v>
      </c>
      <c r="D268" s="118">
        <f t="shared" si="22"/>
        <v>201.66666666666666</v>
      </c>
      <c r="E268" s="118">
        <f t="shared" si="23"/>
        <v>40.333333333333343</v>
      </c>
      <c r="F268" s="118">
        <f t="shared" si="24"/>
        <v>242</v>
      </c>
      <c r="G268" s="118">
        <v>223</v>
      </c>
      <c r="H268" s="304">
        <f t="shared" si="25"/>
        <v>241.73200000000003</v>
      </c>
      <c r="I268" s="304">
        <f t="shared" si="26"/>
        <v>242</v>
      </c>
      <c r="L268" s="196"/>
    </row>
    <row r="269" spans="1:12" s="84" customFormat="1" outlineLevel="2" x14ac:dyDescent="0.25">
      <c r="A269" s="214" t="s">
        <v>3385</v>
      </c>
      <c r="B269" s="70" t="s">
        <v>808</v>
      </c>
      <c r="C269" s="87" t="s">
        <v>807</v>
      </c>
      <c r="D269" s="118">
        <f t="shared" si="22"/>
        <v>504.16666666666663</v>
      </c>
      <c r="E269" s="118">
        <f t="shared" si="23"/>
        <v>100.83333333333334</v>
      </c>
      <c r="F269" s="118">
        <f t="shared" si="24"/>
        <v>605</v>
      </c>
      <c r="G269" s="118">
        <v>558</v>
      </c>
      <c r="H269" s="304">
        <f t="shared" si="25"/>
        <v>604.87200000000007</v>
      </c>
      <c r="I269" s="304">
        <f t="shared" si="26"/>
        <v>605</v>
      </c>
      <c r="L269" s="196"/>
    </row>
    <row r="270" spans="1:12" customFormat="1" outlineLevel="1" x14ac:dyDescent="0.2">
      <c r="A270" s="215" t="s">
        <v>3127</v>
      </c>
      <c r="B270" s="70" t="s">
        <v>1522</v>
      </c>
      <c r="C270" s="149"/>
      <c r="D270" s="118"/>
      <c r="E270" s="118"/>
      <c r="F270" s="118"/>
      <c r="G270" s="118"/>
      <c r="H270" s="304">
        <f t="shared" si="25"/>
        <v>0</v>
      </c>
      <c r="I270" s="304">
        <f t="shared" si="26"/>
        <v>0</v>
      </c>
      <c r="L270" s="195"/>
    </row>
    <row r="271" spans="1:12" customFormat="1" outlineLevel="2" x14ac:dyDescent="0.2">
      <c r="A271" s="214" t="s">
        <v>3386</v>
      </c>
      <c r="B271" s="145" t="s">
        <v>1526</v>
      </c>
      <c r="C271" s="212"/>
      <c r="D271" s="118"/>
      <c r="E271" s="118"/>
      <c r="F271" s="118"/>
      <c r="G271" s="118"/>
      <c r="H271" s="304">
        <f t="shared" si="25"/>
        <v>0</v>
      </c>
      <c r="I271" s="304">
        <f t="shared" si="26"/>
        <v>0</v>
      </c>
      <c r="L271" s="195"/>
    </row>
    <row r="272" spans="1:12" customFormat="1" outlineLevel="3" x14ac:dyDescent="0.2">
      <c r="A272" s="214" t="s">
        <v>3387</v>
      </c>
      <c r="B272" s="150" t="s">
        <v>1523</v>
      </c>
      <c r="C272" s="212" t="s">
        <v>543</v>
      </c>
      <c r="D272" s="118">
        <f t="shared" si="22"/>
        <v>795.83333333333326</v>
      </c>
      <c r="E272" s="118">
        <f t="shared" si="23"/>
        <v>159.16666666666669</v>
      </c>
      <c r="F272" s="118">
        <f t="shared" si="24"/>
        <v>955</v>
      </c>
      <c r="G272" s="118">
        <v>881</v>
      </c>
      <c r="H272" s="304">
        <f t="shared" si="25"/>
        <v>955.00400000000002</v>
      </c>
      <c r="I272" s="304">
        <f t="shared" si="26"/>
        <v>955</v>
      </c>
      <c r="L272" s="195"/>
    </row>
    <row r="273" spans="1:12" customFormat="1" outlineLevel="3" x14ac:dyDescent="0.2">
      <c r="A273" s="214" t="s">
        <v>3388</v>
      </c>
      <c r="B273" s="150" t="s">
        <v>1524</v>
      </c>
      <c r="C273" s="212" t="s">
        <v>543</v>
      </c>
      <c r="D273" s="118">
        <f t="shared" si="22"/>
        <v>820</v>
      </c>
      <c r="E273" s="118">
        <f t="shared" si="23"/>
        <v>164</v>
      </c>
      <c r="F273" s="118">
        <f t="shared" si="24"/>
        <v>984</v>
      </c>
      <c r="G273" s="118">
        <v>908</v>
      </c>
      <c r="H273" s="304">
        <f t="shared" si="25"/>
        <v>984.27200000000005</v>
      </c>
      <c r="I273" s="304">
        <f t="shared" si="26"/>
        <v>984</v>
      </c>
      <c r="L273" s="195"/>
    </row>
    <row r="274" spans="1:12" customFormat="1" outlineLevel="3" x14ac:dyDescent="0.2">
      <c r="A274" s="214" t="s">
        <v>3389</v>
      </c>
      <c r="B274" s="150" t="s">
        <v>1525</v>
      </c>
      <c r="C274" s="212" t="s">
        <v>543</v>
      </c>
      <c r="D274" s="118">
        <f t="shared" si="22"/>
        <v>902.5</v>
      </c>
      <c r="E274" s="118">
        <f t="shared" si="23"/>
        <v>180.5</v>
      </c>
      <c r="F274" s="118">
        <f t="shared" si="24"/>
        <v>1083</v>
      </c>
      <c r="G274" s="118">
        <v>999</v>
      </c>
      <c r="H274" s="304">
        <f t="shared" si="25"/>
        <v>1082.9160000000002</v>
      </c>
      <c r="I274" s="304">
        <f t="shared" si="26"/>
        <v>1083</v>
      </c>
      <c r="L274" s="195"/>
    </row>
    <row r="275" spans="1:12" customFormat="1" outlineLevel="2" x14ac:dyDescent="0.2">
      <c r="A275" s="214" t="s">
        <v>3390</v>
      </c>
      <c r="B275" s="70" t="s">
        <v>1527</v>
      </c>
      <c r="C275" s="212"/>
      <c r="D275" s="118"/>
      <c r="E275" s="118"/>
      <c r="F275" s="118"/>
      <c r="G275" s="118"/>
      <c r="H275" s="304">
        <f t="shared" si="25"/>
        <v>0</v>
      </c>
      <c r="I275" s="304">
        <f t="shared" si="26"/>
        <v>0</v>
      </c>
      <c r="L275" s="195"/>
    </row>
    <row r="276" spans="1:12" customFormat="1" outlineLevel="3" x14ac:dyDescent="0.2">
      <c r="A276" s="214" t="s">
        <v>3391</v>
      </c>
      <c r="B276" s="150" t="s">
        <v>1523</v>
      </c>
      <c r="C276" s="212" t="s">
        <v>543</v>
      </c>
      <c r="D276" s="118">
        <f t="shared" si="22"/>
        <v>810</v>
      </c>
      <c r="E276" s="118">
        <f t="shared" si="23"/>
        <v>162</v>
      </c>
      <c r="F276" s="118">
        <f t="shared" si="24"/>
        <v>972</v>
      </c>
      <c r="G276" s="118">
        <v>897</v>
      </c>
      <c r="H276" s="304">
        <f t="shared" si="25"/>
        <v>972.34800000000007</v>
      </c>
      <c r="I276" s="304">
        <f t="shared" si="26"/>
        <v>972</v>
      </c>
      <c r="L276" s="195"/>
    </row>
    <row r="277" spans="1:12" customFormat="1" outlineLevel="3" x14ac:dyDescent="0.2">
      <c r="A277" s="214" t="s">
        <v>3392</v>
      </c>
      <c r="B277" s="150" t="s">
        <v>1524</v>
      </c>
      <c r="C277" s="212" t="s">
        <v>543</v>
      </c>
      <c r="D277" s="118">
        <f t="shared" si="22"/>
        <v>878.33333333333326</v>
      </c>
      <c r="E277" s="118">
        <f t="shared" si="23"/>
        <v>175.66666666666669</v>
      </c>
      <c r="F277" s="118">
        <f t="shared" si="24"/>
        <v>1054</v>
      </c>
      <c r="G277" s="118">
        <v>972</v>
      </c>
      <c r="H277" s="304">
        <f t="shared" si="25"/>
        <v>1053.6480000000001</v>
      </c>
      <c r="I277" s="304">
        <f t="shared" si="26"/>
        <v>1054</v>
      </c>
      <c r="L277" s="195"/>
    </row>
    <row r="278" spans="1:12" customFormat="1" outlineLevel="3" x14ac:dyDescent="0.2">
      <c r="A278" s="214" t="s">
        <v>3393</v>
      </c>
      <c r="B278" s="150" t="s">
        <v>1525</v>
      </c>
      <c r="C278" s="212" t="s">
        <v>543</v>
      </c>
      <c r="D278" s="118">
        <f t="shared" si="22"/>
        <v>940</v>
      </c>
      <c r="E278" s="118">
        <f t="shared" si="23"/>
        <v>188</v>
      </c>
      <c r="F278" s="118">
        <f t="shared" si="24"/>
        <v>1128</v>
      </c>
      <c r="G278" s="118">
        <v>1041</v>
      </c>
      <c r="H278" s="304">
        <f t="shared" si="25"/>
        <v>1128.4440000000002</v>
      </c>
      <c r="I278" s="304">
        <f t="shared" si="26"/>
        <v>1128</v>
      </c>
      <c r="L278" s="195"/>
    </row>
    <row r="279" spans="1:12" customFormat="1" outlineLevel="1" x14ac:dyDescent="0.2">
      <c r="A279" s="215" t="s">
        <v>3208</v>
      </c>
      <c r="B279" s="70" t="s">
        <v>1528</v>
      </c>
      <c r="C279" s="149"/>
      <c r="D279" s="118"/>
      <c r="E279" s="118"/>
      <c r="F279" s="118"/>
      <c r="G279" s="118"/>
      <c r="H279" s="304">
        <f t="shared" si="25"/>
        <v>0</v>
      </c>
      <c r="I279" s="304">
        <f t="shared" si="26"/>
        <v>0</v>
      </c>
      <c r="L279" s="195"/>
    </row>
    <row r="280" spans="1:12" customFormat="1" outlineLevel="2" x14ac:dyDescent="0.2">
      <c r="A280" s="214" t="s">
        <v>3394</v>
      </c>
      <c r="B280" s="70" t="s">
        <v>1892</v>
      </c>
      <c r="C280" s="212" t="s">
        <v>543</v>
      </c>
      <c r="D280" s="118">
        <f t="shared" si="22"/>
        <v>766.66666666666663</v>
      </c>
      <c r="E280" s="118">
        <f t="shared" si="23"/>
        <v>153.33333333333334</v>
      </c>
      <c r="F280" s="118">
        <f t="shared" si="24"/>
        <v>920</v>
      </c>
      <c r="G280" s="118">
        <v>849</v>
      </c>
      <c r="H280" s="304">
        <f t="shared" si="25"/>
        <v>920.31600000000003</v>
      </c>
      <c r="I280" s="304">
        <f t="shared" si="26"/>
        <v>920</v>
      </c>
      <c r="L280" s="195"/>
    </row>
    <row r="281" spans="1:12" customFormat="1" outlineLevel="2" x14ac:dyDescent="0.2">
      <c r="A281" s="214" t="s">
        <v>3395</v>
      </c>
      <c r="B281" s="70" t="s">
        <v>1893</v>
      </c>
      <c r="C281" s="212" t="s">
        <v>543</v>
      </c>
      <c r="D281" s="118">
        <f t="shared" si="22"/>
        <v>1129.1666666666665</v>
      </c>
      <c r="E281" s="118">
        <f t="shared" si="23"/>
        <v>225.83333333333337</v>
      </c>
      <c r="F281" s="118">
        <f t="shared" si="24"/>
        <v>1355</v>
      </c>
      <c r="G281" s="118">
        <v>1250</v>
      </c>
      <c r="H281" s="304">
        <f t="shared" si="25"/>
        <v>1355</v>
      </c>
      <c r="I281" s="304">
        <f t="shared" si="26"/>
        <v>1355</v>
      </c>
      <c r="L281" s="195"/>
    </row>
    <row r="282" spans="1:12" customFormat="1" outlineLevel="2" x14ac:dyDescent="0.2">
      <c r="A282" s="214" t="s">
        <v>3396</v>
      </c>
      <c r="B282" s="70" t="s">
        <v>1894</v>
      </c>
      <c r="C282" s="212" t="s">
        <v>543</v>
      </c>
      <c r="D282" s="118">
        <f t="shared" si="22"/>
        <v>1495.8333333333333</v>
      </c>
      <c r="E282" s="118">
        <f t="shared" si="23"/>
        <v>299.16666666666669</v>
      </c>
      <c r="F282" s="118">
        <f t="shared" si="24"/>
        <v>1795</v>
      </c>
      <c r="G282" s="118">
        <v>1656</v>
      </c>
      <c r="H282" s="304">
        <f t="shared" si="25"/>
        <v>1795.104</v>
      </c>
      <c r="I282" s="304">
        <f t="shared" si="26"/>
        <v>1795</v>
      </c>
      <c r="L282" s="195"/>
    </row>
    <row r="283" spans="1:12" customFormat="1" outlineLevel="1" x14ac:dyDescent="0.2">
      <c r="A283" s="215" t="s">
        <v>3231</v>
      </c>
      <c r="B283" s="70" t="s">
        <v>3054</v>
      </c>
      <c r="C283" s="222" t="s">
        <v>810</v>
      </c>
      <c r="D283" s="118">
        <f t="shared" si="22"/>
        <v>361.66666666666663</v>
      </c>
      <c r="E283" s="118">
        <f t="shared" si="23"/>
        <v>72.333333333333343</v>
      </c>
      <c r="F283" s="118">
        <f t="shared" si="24"/>
        <v>434</v>
      </c>
      <c r="G283" s="118">
        <v>400</v>
      </c>
      <c r="H283" s="304">
        <f t="shared" si="25"/>
        <v>433.6</v>
      </c>
      <c r="I283" s="304">
        <f t="shared" si="26"/>
        <v>434</v>
      </c>
      <c r="L283" s="195"/>
    </row>
    <row r="284" spans="1:12" customFormat="1" outlineLevel="1" x14ac:dyDescent="0.25">
      <c r="A284" s="215" t="s">
        <v>3397</v>
      </c>
      <c r="B284" s="70" t="s">
        <v>3128</v>
      </c>
      <c r="C284" s="232" t="s">
        <v>543</v>
      </c>
      <c r="D284" s="118">
        <f t="shared" si="22"/>
        <v>270.83333333333331</v>
      </c>
      <c r="E284" s="118">
        <f t="shared" si="23"/>
        <v>54.166666666666679</v>
      </c>
      <c r="F284" s="118">
        <f t="shared" si="24"/>
        <v>325</v>
      </c>
      <c r="G284" s="118">
        <v>300</v>
      </c>
      <c r="H284" s="304">
        <f t="shared" si="25"/>
        <v>325.20000000000005</v>
      </c>
      <c r="I284" s="304">
        <f t="shared" si="26"/>
        <v>325</v>
      </c>
      <c r="J284" s="1"/>
      <c r="K284" s="1"/>
      <c r="L284" s="195"/>
    </row>
    <row r="285" spans="1:12" customFormat="1" outlineLevel="1" x14ac:dyDescent="0.25">
      <c r="A285" s="215" t="s">
        <v>3796</v>
      </c>
      <c r="B285" s="70" t="s">
        <v>3797</v>
      </c>
      <c r="C285" s="378" t="s">
        <v>543</v>
      </c>
      <c r="D285" s="118">
        <f t="shared" si="22"/>
        <v>575</v>
      </c>
      <c r="E285" s="118">
        <f t="shared" si="23"/>
        <v>115</v>
      </c>
      <c r="F285" s="118">
        <v>690</v>
      </c>
      <c r="G285" s="130"/>
      <c r="H285" s="304"/>
      <c r="I285" s="304"/>
      <c r="J285" s="1"/>
      <c r="K285" s="1"/>
      <c r="L285" s="195"/>
    </row>
    <row r="286" spans="1:12" customFormat="1" ht="18.75" x14ac:dyDescent="0.2">
      <c r="A286" s="392" t="s">
        <v>1294</v>
      </c>
      <c r="B286" s="393"/>
      <c r="C286" s="393"/>
      <c r="D286" s="393"/>
      <c r="E286" s="393"/>
      <c r="F286" s="393"/>
      <c r="G286" s="394"/>
      <c r="H286" s="307"/>
      <c r="I286" s="307"/>
      <c r="L286" s="195"/>
    </row>
    <row r="287" spans="1:12" customFormat="1" outlineLevel="1" x14ac:dyDescent="0.2">
      <c r="A287" s="25" t="s">
        <v>2311</v>
      </c>
      <c r="B287" s="70" t="s">
        <v>625</v>
      </c>
      <c r="C287" s="107" t="s">
        <v>626</v>
      </c>
      <c r="D287" s="118"/>
      <c r="E287" s="118"/>
      <c r="F287" s="118"/>
      <c r="G287" s="118"/>
      <c r="H287" s="304">
        <f t="shared" si="25"/>
        <v>0</v>
      </c>
      <c r="I287" s="304">
        <f t="shared" si="26"/>
        <v>0</v>
      </c>
      <c r="L287" s="195"/>
    </row>
    <row r="288" spans="1:12" customFormat="1" outlineLevel="2" x14ac:dyDescent="0.2">
      <c r="A288" s="214" t="s">
        <v>2322</v>
      </c>
      <c r="B288" s="70" t="s">
        <v>627</v>
      </c>
      <c r="C288" s="212" t="s">
        <v>626</v>
      </c>
      <c r="D288" s="118">
        <f t="shared" ref="D288:D309" si="29">F288-E288</f>
        <v>140.83333333333331</v>
      </c>
      <c r="E288" s="118">
        <f t="shared" si="23"/>
        <v>28.166666666666671</v>
      </c>
      <c r="F288" s="118">
        <f t="shared" si="24"/>
        <v>169</v>
      </c>
      <c r="G288" s="118">
        <v>156</v>
      </c>
      <c r="H288" s="304">
        <f t="shared" si="25"/>
        <v>169.10400000000001</v>
      </c>
      <c r="I288" s="304">
        <f t="shared" si="26"/>
        <v>169</v>
      </c>
      <c r="L288" s="195"/>
    </row>
    <row r="289" spans="1:12" customFormat="1" outlineLevel="2" x14ac:dyDescent="0.2">
      <c r="A289" s="214" t="s">
        <v>2323</v>
      </c>
      <c r="B289" s="70" t="s">
        <v>628</v>
      </c>
      <c r="C289" s="212" t="s">
        <v>626</v>
      </c>
      <c r="D289" s="118">
        <f t="shared" si="29"/>
        <v>169.16666666666666</v>
      </c>
      <c r="E289" s="118">
        <f t="shared" si="23"/>
        <v>33.833333333333336</v>
      </c>
      <c r="F289" s="118">
        <f t="shared" si="24"/>
        <v>203</v>
      </c>
      <c r="G289" s="118">
        <v>187</v>
      </c>
      <c r="H289" s="304">
        <f t="shared" si="25"/>
        <v>202.70800000000003</v>
      </c>
      <c r="I289" s="304">
        <f t="shared" si="26"/>
        <v>203</v>
      </c>
      <c r="L289" s="195"/>
    </row>
    <row r="290" spans="1:12" customFormat="1" outlineLevel="2" x14ac:dyDescent="0.2">
      <c r="A290" s="214" t="s">
        <v>2324</v>
      </c>
      <c r="B290" s="70" t="s">
        <v>629</v>
      </c>
      <c r="C290" s="212" t="s">
        <v>626</v>
      </c>
      <c r="D290" s="118">
        <f t="shared" si="29"/>
        <v>197.5</v>
      </c>
      <c r="E290" s="118">
        <f t="shared" si="23"/>
        <v>39.5</v>
      </c>
      <c r="F290" s="118">
        <f t="shared" si="24"/>
        <v>237</v>
      </c>
      <c r="G290" s="118">
        <v>219</v>
      </c>
      <c r="H290" s="304">
        <f t="shared" si="25"/>
        <v>237.39600000000002</v>
      </c>
      <c r="I290" s="304">
        <f t="shared" si="26"/>
        <v>237</v>
      </c>
      <c r="L290" s="195"/>
    </row>
    <row r="291" spans="1:12" customFormat="1" outlineLevel="2" x14ac:dyDescent="0.2">
      <c r="A291" s="214" t="s">
        <v>2325</v>
      </c>
      <c r="B291" s="70" t="s">
        <v>630</v>
      </c>
      <c r="C291" s="212" t="s">
        <v>626</v>
      </c>
      <c r="D291" s="118">
        <f t="shared" si="29"/>
        <v>282.5</v>
      </c>
      <c r="E291" s="118">
        <f t="shared" si="23"/>
        <v>56.5</v>
      </c>
      <c r="F291" s="118">
        <f t="shared" si="24"/>
        <v>339</v>
      </c>
      <c r="G291" s="118">
        <v>313</v>
      </c>
      <c r="H291" s="304">
        <f t="shared" si="25"/>
        <v>339.29200000000003</v>
      </c>
      <c r="I291" s="304">
        <f t="shared" si="26"/>
        <v>339</v>
      </c>
      <c r="L291" s="195"/>
    </row>
    <row r="292" spans="1:12" customFormat="1" outlineLevel="1" x14ac:dyDescent="0.2">
      <c r="A292" s="25" t="s">
        <v>2312</v>
      </c>
      <c r="B292" s="70" t="s">
        <v>631</v>
      </c>
      <c r="C292" s="107" t="s">
        <v>626</v>
      </c>
      <c r="D292" s="118"/>
      <c r="E292" s="118"/>
      <c r="F292" s="118"/>
      <c r="G292" s="118"/>
      <c r="H292" s="304">
        <f t="shared" si="25"/>
        <v>0</v>
      </c>
      <c r="I292" s="304">
        <f t="shared" si="26"/>
        <v>0</v>
      </c>
      <c r="L292" s="195"/>
    </row>
    <row r="293" spans="1:12" customFormat="1" outlineLevel="2" x14ac:dyDescent="0.2">
      <c r="A293" s="214" t="s">
        <v>2326</v>
      </c>
      <c r="B293" s="70" t="s">
        <v>627</v>
      </c>
      <c r="C293" s="212" t="s">
        <v>626</v>
      </c>
      <c r="D293" s="118">
        <f t="shared" si="29"/>
        <v>113.33333333333333</v>
      </c>
      <c r="E293" s="118">
        <f t="shared" si="23"/>
        <v>22.666666666666671</v>
      </c>
      <c r="F293" s="118">
        <f t="shared" si="24"/>
        <v>136</v>
      </c>
      <c r="G293" s="118">
        <v>125</v>
      </c>
      <c r="H293" s="304">
        <f t="shared" si="25"/>
        <v>135.5</v>
      </c>
      <c r="I293" s="304">
        <f t="shared" si="26"/>
        <v>136</v>
      </c>
      <c r="L293" s="195"/>
    </row>
    <row r="294" spans="1:12" customFormat="1" outlineLevel="2" x14ac:dyDescent="0.2">
      <c r="A294" s="214" t="s">
        <v>2327</v>
      </c>
      <c r="B294" s="70" t="s">
        <v>628</v>
      </c>
      <c r="C294" s="212" t="s">
        <v>626</v>
      </c>
      <c r="D294" s="118">
        <f t="shared" si="29"/>
        <v>113.33333333333333</v>
      </c>
      <c r="E294" s="118">
        <f t="shared" si="23"/>
        <v>22.666666666666671</v>
      </c>
      <c r="F294" s="118">
        <f t="shared" si="24"/>
        <v>136</v>
      </c>
      <c r="G294" s="118">
        <v>125</v>
      </c>
      <c r="H294" s="304">
        <f t="shared" si="25"/>
        <v>135.5</v>
      </c>
      <c r="I294" s="304">
        <f t="shared" si="26"/>
        <v>136</v>
      </c>
      <c r="L294" s="195"/>
    </row>
    <row r="295" spans="1:12" customFormat="1" outlineLevel="2" x14ac:dyDescent="0.2">
      <c r="A295" s="214" t="s">
        <v>2328</v>
      </c>
      <c r="B295" s="70" t="s">
        <v>629</v>
      </c>
      <c r="C295" s="212" t="s">
        <v>626</v>
      </c>
      <c r="D295" s="118">
        <f t="shared" si="29"/>
        <v>140.83333333333331</v>
      </c>
      <c r="E295" s="118">
        <f t="shared" si="23"/>
        <v>28.166666666666671</v>
      </c>
      <c r="F295" s="118">
        <f t="shared" si="24"/>
        <v>169</v>
      </c>
      <c r="G295" s="118">
        <v>156</v>
      </c>
      <c r="H295" s="304">
        <f t="shared" si="25"/>
        <v>169.10400000000001</v>
      </c>
      <c r="I295" s="304">
        <f t="shared" si="26"/>
        <v>169</v>
      </c>
      <c r="L295" s="195"/>
    </row>
    <row r="296" spans="1:12" customFormat="1" outlineLevel="2" x14ac:dyDescent="0.2">
      <c r="A296" s="214" t="s">
        <v>2329</v>
      </c>
      <c r="B296" s="70" t="s">
        <v>630</v>
      </c>
      <c r="C296" s="212" t="s">
        <v>626</v>
      </c>
      <c r="D296" s="118">
        <f t="shared" si="29"/>
        <v>169.16666666666666</v>
      </c>
      <c r="E296" s="118">
        <f t="shared" si="23"/>
        <v>33.833333333333336</v>
      </c>
      <c r="F296" s="118">
        <f t="shared" si="24"/>
        <v>203</v>
      </c>
      <c r="G296" s="118">
        <v>187</v>
      </c>
      <c r="H296" s="304">
        <f t="shared" si="25"/>
        <v>202.70800000000003</v>
      </c>
      <c r="I296" s="304">
        <f t="shared" si="26"/>
        <v>203</v>
      </c>
      <c r="L296" s="195"/>
    </row>
    <row r="297" spans="1:12" customFormat="1" outlineLevel="1" x14ac:dyDescent="0.2">
      <c r="A297" s="25" t="s">
        <v>2313</v>
      </c>
      <c r="B297" s="70" t="s">
        <v>632</v>
      </c>
      <c r="C297" s="107" t="s">
        <v>626</v>
      </c>
      <c r="D297" s="118">
        <f t="shared" si="29"/>
        <v>226.66666666666666</v>
      </c>
      <c r="E297" s="118">
        <f t="shared" si="23"/>
        <v>45.333333333333343</v>
      </c>
      <c r="F297" s="118">
        <f t="shared" si="24"/>
        <v>272</v>
      </c>
      <c r="G297" s="118">
        <v>251</v>
      </c>
      <c r="H297" s="304">
        <f t="shared" si="25"/>
        <v>272.084</v>
      </c>
      <c r="I297" s="304">
        <f t="shared" si="26"/>
        <v>272</v>
      </c>
      <c r="L297" s="195"/>
    </row>
    <row r="298" spans="1:12" customFormat="1" outlineLevel="1" x14ac:dyDescent="0.2">
      <c r="A298" s="25" t="s">
        <v>2314</v>
      </c>
      <c r="B298" s="70" t="s">
        <v>633</v>
      </c>
      <c r="C298" s="107" t="s">
        <v>626</v>
      </c>
      <c r="D298" s="118"/>
      <c r="E298" s="118"/>
      <c r="F298" s="118"/>
      <c r="G298" s="118"/>
      <c r="H298" s="304">
        <f t="shared" ref="H298:H309" si="30">G298*$H$8</f>
        <v>0</v>
      </c>
      <c r="I298" s="304">
        <f t="shared" ref="I298:I309" si="31">ROUND(H298,0)</f>
        <v>0</v>
      </c>
      <c r="L298" s="195"/>
    </row>
    <row r="299" spans="1:12" customFormat="1" outlineLevel="2" x14ac:dyDescent="0.2">
      <c r="A299" s="214" t="s">
        <v>2330</v>
      </c>
      <c r="B299" s="70" t="s">
        <v>634</v>
      </c>
      <c r="C299" s="212" t="s">
        <v>626</v>
      </c>
      <c r="D299" s="118">
        <f t="shared" si="29"/>
        <v>255</v>
      </c>
      <c r="E299" s="118">
        <f t="shared" ref="E299:E309" si="32">F299/1.2*0.2</f>
        <v>51</v>
      </c>
      <c r="F299" s="118">
        <f t="shared" ref="F299:F309" si="33">I299</f>
        <v>306</v>
      </c>
      <c r="G299" s="118">
        <v>282</v>
      </c>
      <c r="H299" s="304">
        <f t="shared" si="30"/>
        <v>305.68800000000005</v>
      </c>
      <c r="I299" s="304">
        <f t="shared" si="31"/>
        <v>306</v>
      </c>
      <c r="L299" s="195"/>
    </row>
    <row r="300" spans="1:12" customFormat="1" outlineLevel="2" x14ac:dyDescent="0.2">
      <c r="A300" s="214" t="s">
        <v>2331</v>
      </c>
      <c r="B300" s="70" t="s">
        <v>635</v>
      </c>
      <c r="C300" s="212" t="s">
        <v>626</v>
      </c>
      <c r="D300" s="118">
        <f t="shared" si="29"/>
        <v>339.16666666666663</v>
      </c>
      <c r="E300" s="118">
        <f t="shared" si="32"/>
        <v>67.833333333333343</v>
      </c>
      <c r="F300" s="118">
        <f t="shared" si="33"/>
        <v>407</v>
      </c>
      <c r="G300" s="118">
        <v>375</v>
      </c>
      <c r="H300" s="304">
        <f t="shared" si="30"/>
        <v>406.5</v>
      </c>
      <c r="I300" s="304">
        <f t="shared" si="31"/>
        <v>407</v>
      </c>
      <c r="L300" s="195"/>
    </row>
    <row r="301" spans="1:12" customFormat="1" outlineLevel="1" x14ac:dyDescent="0.2">
      <c r="A301" s="25" t="s">
        <v>2315</v>
      </c>
      <c r="B301" s="70" t="s">
        <v>636</v>
      </c>
      <c r="C301" s="107" t="s">
        <v>626</v>
      </c>
      <c r="D301" s="118">
        <f t="shared" si="29"/>
        <v>669.16666666666663</v>
      </c>
      <c r="E301" s="118">
        <f t="shared" si="32"/>
        <v>133.83333333333334</v>
      </c>
      <c r="F301" s="118">
        <f t="shared" si="33"/>
        <v>803</v>
      </c>
      <c r="G301" s="118">
        <v>741</v>
      </c>
      <c r="H301" s="304">
        <f t="shared" si="30"/>
        <v>803.24400000000003</v>
      </c>
      <c r="I301" s="304">
        <f t="shared" si="31"/>
        <v>803</v>
      </c>
      <c r="L301" s="195"/>
    </row>
    <row r="302" spans="1:12" customFormat="1" outlineLevel="1" x14ac:dyDescent="0.2">
      <c r="A302" s="25" t="s">
        <v>2316</v>
      </c>
      <c r="B302" s="70" t="s">
        <v>637</v>
      </c>
      <c r="C302" s="107" t="s">
        <v>626</v>
      </c>
      <c r="D302" s="118">
        <f t="shared" si="29"/>
        <v>172.5</v>
      </c>
      <c r="E302" s="118">
        <f t="shared" si="32"/>
        <v>34.5</v>
      </c>
      <c r="F302" s="118">
        <f t="shared" si="33"/>
        <v>207</v>
      </c>
      <c r="G302" s="118">
        <v>191</v>
      </c>
      <c r="H302" s="304">
        <f t="shared" si="30"/>
        <v>207.04400000000001</v>
      </c>
      <c r="I302" s="304">
        <f t="shared" si="31"/>
        <v>207</v>
      </c>
      <c r="L302" s="195"/>
    </row>
    <row r="303" spans="1:12" customFormat="1" outlineLevel="1" x14ac:dyDescent="0.2">
      <c r="A303" s="25" t="s">
        <v>2317</v>
      </c>
      <c r="B303" s="70" t="s">
        <v>638</v>
      </c>
      <c r="C303" s="107" t="s">
        <v>487</v>
      </c>
      <c r="D303" s="118">
        <f t="shared" si="29"/>
        <v>197.5</v>
      </c>
      <c r="E303" s="118">
        <f t="shared" si="32"/>
        <v>39.5</v>
      </c>
      <c r="F303" s="118">
        <f t="shared" si="33"/>
        <v>237</v>
      </c>
      <c r="G303" s="118">
        <v>219</v>
      </c>
      <c r="H303" s="304">
        <f t="shared" si="30"/>
        <v>237.39600000000002</v>
      </c>
      <c r="I303" s="304">
        <f t="shared" si="31"/>
        <v>237</v>
      </c>
      <c r="L303" s="195"/>
    </row>
    <row r="304" spans="1:12" customFormat="1" outlineLevel="1" x14ac:dyDescent="0.2">
      <c r="A304" s="25" t="s">
        <v>2318</v>
      </c>
      <c r="B304" s="70" t="s">
        <v>639</v>
      </c>
      <c r="C304" s="107" t="s">
        <v>640</v>
      </c>
      <c r="D304" s="118">
        <f t="shared" si="29"/>
        <v>383.33333333333331</v>
      </c>
      <c r="E304" s="118">
        <f t="shared" si="32"/>
        <v>76.666666666666671</v>
      </c>
      <c r="F304" s="118">
        <f t="shared" si="33"/>
        <v>460</v>
      </c>
      <c r="G304" s="118">
        <v>424</v>
      </c>
      <c r="H304" s="304">
        <f t="shared" si="30"/>
        <v>459.61600000000004</v>
      </c>
      <c r="I304" s="304">
        <f t="shared" si="31"/>
        <v>460</v>
      </c>
      <c r="L304" s="195"/>
    </row>
    <row r="305" spans="1:12" customFormat="1" outlineLevel="1" x14ac:dyDescent="0.2">
      <c r="A305" s="25" t="s">
        <v>2319</v>
      </c>
      <c r="B305" s="70" t="s">
        <v>641</v>
      </c>
      <c r="C305" s="107" t="s">
        <v>487</v>
      </c>
      <c r="D305" s="118">
        <f t="shared" si="29"/>
        <v>255</v>
      </c>
      <c r="E305" s="118">
        <f t="shared" si="32"/>
        <v>51</v>
      </c>
      <c r="F305" s="118">
        <f t="shared" si="33"/>
        <v>306</v>
      </c>
      <c r="G305" s="118">
        <v>282</v>
      </c>
      <c r="H305" s="304">
        <f t="shared" si="30"/>
        <v>305.68800000000005</v>
      </c>
      <c r="I305" s="304">
        <f t="shared" si="31"/>
        <v>306</v>
      </c>
      <c r="L305" s="195"/>
    </row>
    <row r="306" spans="1:12" customFormat="1" outlineLevel="1" x14ac:dyDescent="0.2">
      <c r="A306" s="25" t="s">
        <v>2320</v>
      </c>
      <c r="B306" s="70" t="s">
        <v>642</v>
      </c>
      <c r="C306" s="107" t="s">
        <v>487</v>
      </c>
      <c r="D306" s="118">
        <f t="shared" si="29"/>
        <v>140.83333333333331</v>
      </c>
      <c r="E306" s="118">
        <f t="shared" si="32"/>
        <v>28.166666666666671</v>
      </c>
      <c r="F306" s="118">
        <f t="shared" si="33"/>
        <v>169</v>
      </c>
      <c r="G306" s="118">
        <v>156</v>
      </c>
      <c r="H306" s="304">
        <f t="shared" si="30"/>
        <v>169.10400000000001</v>
      </c>
      <c r="I306" s="304">
        <f t="shared" si="31"/>
        <v>169</v>
      </c>
      <c r="L306" s="195"/>
    </row>
    <row r="307" spans="1:12" customFormat="1" outlineLevel="1" x14ac:dyDescent="0.2">
      <c r="A307" s="25" t="s">
        <v>2321</v>
      </c>
      <c r="B307" s="70" t="s">
        <v>643</v>
      </c>
      <c r="C307" s="107"/>
      <c r="D307" s="118"/>
      <c r="E307" s="118"/>
      <c r="F307" s="118"/>
      <c r="G307" s="118"/>
      <c r="H307" s="304">
        <f t="shared" si="30"/>
        <v>0</v>
      </c>
      <c r="I307" s="304">
        <f t="shared" si="31"/>
        <v>0</v>
      </c>
      <c r="L307" s="195"/>
    </row>
    <row r="308" spans="1:12" customFormat="1" outlineLevel="2" x14ac:dyDescent="0.2">
      <c r="A308" s="214" t="s">
        <v>2332</v>
      </c>
      <c r="B308" s="70" t="s">
        <v>644</v>
      </c>
      <c r="C308" s="212" t="s">
        <v>543</v>
      </c>
      <c r="D308" s="118">
        <f t="shared" si="29"/>
        <v>230</v>
      </c>
      <c r="E308" s="118">
        <f t="shared" si="32"/>
        <v>46</v>
      </c>
      <c r="F308" s="118">
        <f t="shared" si="33"/>
        <v>276</v>
      </c>
      <c r="G308" s="118">
        <v>255</v>
      </c>
      <c r="H308" s="304">
        <f t="shared" si="30"/>
        <v>276.42</v>
      </c>
      <c r="I308" s="304">
        <f t="shared" si="31"/>
        <v>276</v>
      </c>
      <c r="L308" s="195"/>
    </row>
    <row r="309" spans="1:12" customFormat="1" outlineLevel="2" x14ac:dyDescent="0.2">
      <c r="A309" s="214" t="s">
        <v>2333</v>
      </c>
      <c r="B309" s="70" t="s">
        <v>645</v>
      </c>
      <c r="C309" s="212" t="s">
        <v>543</v>
      </c>
      <c r="D309" s="118">
        <f t="shared" si="29"/>
        <v>303.33333333333331</v>
      </c>
      <c r="E309" s="118">
        <f t="shared" si="32"/>
        <v>60.666666666666679</v>
      </c>
      <c r="F309" s="118">
        <f t="shared" si="33"/>
        <v>364</v>
      </c>
      <c r="G309" s="118">
        <v>336</v>
      </c>
      <c r="H309" s="304">
        <f t="shared" si="30"/>
        <v>364.22400000000005</v>
      </c>
      <c r="I309" s="304">
        <f t="shared" si="31"/>
        <v>364</v>
      </c>
      <c r="L309" s="195"/>
    </row>
    <row r="310" spans="1:12" customFormat="1" ht="18.75" x14ac:dyDescent="0.2">
      <c r="A310" s="392" t="s">
        <v>1307</v>
      </c>
      <c r="B310" s="393"/>
      <c r="C310" s="393"/>
      <c r="D310" s="393"/>
      <c r="E310" s="393"/>
      <c r="F310" s="393"/>
      <c r="G310" s="394"/>
      <c r="H310" s="307"/>
      <c r="I310" s="307"/>
      <c r="L310" s="195"/>
    </row>
    <row r="311" spans="1:12" customFormat="1" outlineLevel="1" x14ac:dyDescent="0.2">
      <c r="A311" s="25" t="s">
        <v>2334</v>
      </c>
      <c r="B311" s="70" t="s">
        <v>646</v>
      </c>
      <c r="C311" s="107"/>
      <c r="D311" s="299"/>
      <c r="E311" s="299"/>
      <c r="F311" s="299"/>
      <c r="G311" s="118"/>
      <c r="H311" s="304"/>
      <c r="I311" s="304"/>
      <c r="L311" s="195"/>
    </row>
    <row r="312" spans="1:12" customFormat="1" outlineLevel="2" x14ac:dyDescent="0.2">
      <c r="A312" s="214" t="s">
        <v>2415</v>
      </c>
      <c r="B312" s="70" t="s">
        <v>648</v>
      </c>
      <c r="C312" s="213" t="s">
        <v>647</v>
      </c>
      <c r="D312" s="118">
        <f t="shared" ref="D312:D365" si="34">F312-E312</f>
        <v>565.83333333333326</v>
      </c>
      <c r="E312" s="118">
        <f t="shared" ref="E312:E366" si="35">F312/1.2*0.2</f>
        <v>113.16666666666669</v>
      </c>
      <c r="F312" s="118">
        <f t="shared" ref="F312:F365" si="36">I312</f>
        <v>679</v>
      </c>
      <c r="G312" s="118">
        <v>626</v>
      </c>
      <c r="H312" s="304">
        <f t="shared" ref="H312:H365" si="37">G312*$H$8</f>
        <v>678.58400000000006</v>
      </c>
      <c r="I312" s="304">
        <f t="shared" ref="I312:I365" si="38">ROUND(H312,0)</f>
        <v>679</v>
      </c>
      <c r="L312" s="195"/>
    </row>
    <row r="313" spans="1:12" customFormat="1" outlineLevel="2" x14ac:dyDescent="0.2">
      <c r="A313" s="214" t="s">
        <v>2416</v>
      </c>
      <c r="B313" s="70" t="s">
        <v>649</v>
      </c>
      <c r="C313" s="213" t="s">
        <v>647</v>
      </c>
      <c r="D313" s="118">
        <f t="shared" si="34"/>
        <v>706.66666666666663</v>
      </c>
      <c r="E313" s="118">
        <f t="shared" si="35"/>
        <v>141.33333333333334</v>
      </c>
      <c r="F313" s="118">
        <f t="shared" si="36"/>
        <v>848</v>
      </c>
      <c r="G313" s="118">
        <v>782</v>
      </c>
      <c r="H313" s="304">
        <f t="shared" si="37"/>
        <v>847.6880000000001</v>
      </c>
      <c r="I313" s="304">
        <f t="shared" si="38"/>
        <v>848</v>
      </c>
      <c r="L313" s="195"/>
    </row>
    <row r="314" spans="1:12" customFormat="1" outlineLevel="2" x14ac:dyDescent="0.2">
      <c r="A314" s="214" t="s">
        <v>2417</v>
      </c>
      <c r="B314" s="70" t="s">
        <v>650</v>
      </c>
      <c r="C314" s="213" t="s">
        <v>647</v>
      </c>
      <c r="D314" s="118">
        <f t="shared" si="34"/>
        <v>989.16666666666663</v>
      </c>
      <c r="E314" s="118">
        <f t="shared" si="35"/>
        <v>197.83333333333337</v>
      </c>
      <c r="F314" s="118">
        <f t="shared" si="36"/>
        <v>1187</v>
      </c>
      <c r="G314" s="118">
        <v>1095</v>
      </c>
      <c r="H314" s="304">
        <f t="shared" si="37"/>
        <v>1186.98</v>
      </c>
      <c r="I314" s="304">
        <f t="shared" si="38"/>
        <v>1187</v>
      </c>
      <c r="L314" s="195"/>
    </row>
    <row r="315" spans="1:12" customFormat="1" outlineLevel="2" x14ac:dyDescent="0.2">
      <c r="A315" s="214" t="s">
        <v>2418</v>
      </c>
      <c r="B315" s="70" t="s">
        <v>651</v>
      </c>
      <c r="C315" s="213" t="s">
        <v>647</v>
      </c>
      <c r="D315" s="118">
        <f t="shared" si="34"/>
        <v>1412.5</v>
      </c>
      <c r="E315" s="118">
        <f t="shared" si="35"/>
        <v>282.5</v>
      </c>
      <c r="F315" s="118">
        <f t="shared" si="36"/>
        <v>1695</v>
      </c>
      <c r="G315" s="118">
        <v>1564</v>
      </c>
      <c r="H315" s="304">
        <f t="shared" si="37"/>
        <v>1695.3760000000002</v>
      </c>
      <c r="I315" s="304">
        <f t="shared" si="38"/>
        <v>1695</v>
      </c>
      <c r="L315" s="195"/>
    </row>
    <row r="316" spans="1:12" customFormat="1" outlineLevel="1" x14ac:dyDescent="0.2">
      <c r="A316" s="25" t="s">
        <v>2335</v>
      </c>
      <c r="B316" s="70" t="s">
        <v>652</v>
      </c>
      <c r="C316" s="107"/>
      <c r="D316" s="118"/>
      <c r="E316" s="118"/>
      <c r="F316" s="118"/>
      <c r="G316" s="118"/>
      <c r="H316" s="304">
        <f t="shared" si="37"/>
        <v>0</v>
      </c>
      <c r="I316" s="304">
        <f t="shared" si="38"/>
        <v>0</v>
      </c>
      <c r="L316" s="195"/>
    </row>
    <row r="317" spans="1:12" customFormat="1" outlineLevel="3" x14ac:dyDescent="0.2">
      <c r="A317" s="214" t="s">
        <v>2419</v>
      </c>
      <c r="B317" s="70" t="s">
        <v>653</v>
      </c>
      <c r="C317" s="213" t="s">
        <v>647</v>
      </c>
      <c r="D317" s="118">
        <f t="shared" si="34"/>
        <v>169.16666666666666</v>
      </c>
      <c r="E317" s="118">
        <f t="shared" si="35"/>
        <v>33.833333333333336</v>
      </c>
      <c r="F317" s="118">
        <f t="shared" si="36"/>
        <v>203</v>
      </c>
      <c r="G317" s="118">
        <v>187</v>
      </c>
      <c r="H317" s="304">
        <f t="shared" si="37"/>
        <v>202.70800000000003</v>
      </c>
      <c r="I317" s="304">
        <f t="shared" si="38"/>
        <v>203</v>
      </c>
      <c r="L317" s="195"/>
    </row>
    <row r="318" spans="1:12" customFormat="1" outlineLevel="3" x14ac:dyDescent="0.2">
      <c r="A318" s="214" t="s">
        <v>2420</v>
      </c>
      <c r="B318" s="70" t="s">
        <v>654</v>
      </c>
      <c r="C318" s="213" t="s">
        <v>647</v>
      </c>
      <c r="D318" s="118">
        <f t="shared" si="34"/>
        <v>367.5</v>
      </c>
      <c r="E318" s="118">
        <f t="shared" si="35"/>
        <v>73.5</v>
      </c>
      <c r="F318" s="118">
        <f t="shared" si="36"/>
        <v>441</v>
      </c>
      <c r="G318" s="118">
        <v>407</v>
      </c>
      <c r="H318" s="304">
        <f t="shared" si="37"/>
        <v>441.18800000000005</v>
      </c>
      <c r="I318" s="304">
        <f t="shared" si="38"/>
        <v>441</v>
      </c>
      <c r="L318" s="195"/>
    </row>
    <row r="319" spans="1:12" customFormat="1" outlineLevel="1" x14ac:dyDescent="0.2">
      <c r="A319" s="25" t="s">
        <v>2336</v>
      </c>
      <c r="B319" s="70" t="s">
        <v>655</v>
      </c>
      <c r="C319" s="107" t="s">
        <v>487</v>
      </c>
      <c r="D319" s="118">
        <f t="shared" si="34"/>
        <v>85</v>
      </c>
      <c r="E319" s="118">
        <f t="shared" si="35"/>
        <v>17</v>
      </c>
      <c r="F319" s="118">
        <f t="shared" si="36"/>
        <v>102</v>
      </c>
      <c r="G319" s="118">
        <v>94</v>
      </c>
      <c r="H319" s="304">
        <f t="shared" si="37"/>
        <v>101.896</v>
      </c>
      <c r="I319" s="304">
        <f t="shared" si="38"/>
        <v>102</v>
      </c>
      <c r="L319" s="195"/>
    </row>
    <row r="320" spans="1:12" customFormat="1" ht="38.25" outlineLevel="1" x14ac:dyDescent="0.2">
      <c r="A320" s="25" t="s">
        <v>2337</v>
      </c>
      <c r="B320" s="70" t="s">
        <v>656</v>
      </c>
      <c r="C320" s="107" t="s">
        <v>657</v>
      </c>
      <c r="D320" s="118">
        <f t="shared" si="34"/>
        <v>113.33333333333333</v>
      </c>
      <c r="E320" s="118">
        <f t="shared" si="35"/>
        <v>22.666666666666671</v>
      </c>
      <c r="F320" s="118">
        <f t="shared" si="36"/>
        <v>136</v>
      </c>
      <c r="G320" s="118">
        <v>125</v>
      </c>
      <c r="H320" s="304">
        <f t="shared" si="37"/>
        <v>135.5</v>
      </c>
      <c r="I320" s="304">
        <f t="shared" si="38"/>
        <v>136</v>
      </c>
      <c r="L320" s="195"/>
    </row>
    <row r="321" spans="1:12" customFormat="1" outlineLevel="1" x14ac:dyDescent="0.2">
      <c r="A321" s="25" t="s">
        <v>2338</v>
      </c>
      <c r="B321" s="70" t="s">
        <v>658</v>
      </c>
      <c r="C321" s="107" t="s">
        <v>659</v>
      </c>
      <c r="D321" s="118">
        <f t="shared" si="34"/>
        <v>140.83333333333331</v>
      </c>
      <c r="E321" s="118">
        <f t="shared" si="35"/>
        <v>28.166666666666671</v>
      </c>
      <c r="F321" s="118">
        <f t="shared" si="36"/>
        <v>169</v>
      </c>
      <c r="G321" s="118">
        <v>156</v>
      </c>
      <c r="H321" s="304">
        <f t="shared" si="37"/>
        <v>169.10400000000001</v>
      </c>
      <c r="I321" s="304">
        <f t="shared" si="38"/>
        <v>169</v>
      </c>
      <c r="L321" s="195"/>
    </row>
    <row r="322" spans="1:12" customFormat="1" outlineLevel="1" x14ac:dyDescent="0.2">
      <c r="A322" s="25" t="s">
        <v>2339</v>
      </c>
      <c r="B322" s="70" t="s">
        <v>660</v>
      </c>
      <c r="C322" s="107" t="s">
        <v>659</v>
      </c>
      <c r="D322" s="118">
        <f t="shared" si="34"/>
        <v>327.5</v>
      </c>
      <c r="E322" s="118">
        <f t="shared" si="35"/>
        <v>65.5</v>
      </c>
      <c r="F322" s="118">
        <f t="shared" si="36"/>
        <v>393</v>
      </c>
      <c r="G322" s="118">
        <v>363</v>
      </c>
      <c r="H322" s="304">
        <f t="shared" si="37"/>
        <v>393.49200000000002</v>
      </c>
      <c r="I322" s="304">
        <f t="shared" si="38"/>
        <v>393</v>
      </c>
      <c r="L322" s="195"/>
    </row>
    <row r="323" spans="1:12" customFormat="1" outlineLevel="1" x14ac:dyDescent="0.2">
      <c r="A323" s="25" t="s">
        <v>2340</v>
      </c>
      <c r="B323" s="70" t="s">
        <v>661</v>
      </c>
      <c r="C323" s="107" t="s">
        <v>659</v>
      </c>
      <c r="D323" s="118">
        <f t="shared" si="34"/>
        <v>423.33333333333331</v>
      </c>
      <c r="E323" s="118">
        <f t="shared" si="35"/>
        <v>84.666666666666686</v>
      </c>
      <c r="F323" s="118">
        <f t="shared" si="36"/>
        <v>508</v>
      </c>
      <c r="G323" s="118">
        <v>469</v>
      </c>
      <c r="H323" s="304">
        <f t="shared" si="37"/>
        <v>508.39600000000002</v>
      </c>
      <c r="I323" s="304">
        <f t="shared" si="38"/>
        <v>508</v>
      </c>
      <c r="L323" s="195"/>
    </row>
    <row r="324" spans="1:12" customFormat="1" outlineLevel="1" x14ac:dyDescent="0.2">
      <c r="A324" s="25" t="s">
        <v>2341</v>
      </c>
      <c r="B324" s="70" t="s">
        <v>662</v>
      </c>
      <c r="C324" s="107" t="s">
        <v>659</v>
      </c>
      <c r="D324" s="118">
        <f t="shared" si="34"/>
        <v>113.33333333333333</v>
      </c>
      <c r="E324" s="118">
        <f t="shared" si="35"/>
        <v>22.666666666666671</v>
      </c>
      <c r="F324" s="118">
        <f t="shared" si="36"/>
        <v>136</v>
      </c>
      <c r="G324" s="118">
        <v>125</v>
      </c>
      <c r="H324" s="304">
        <f t="shared" si="37"/>
        <v>135.5</v>
      </c>
      <c r="I324" s="304">
        <f t="shared" si="38"/>
        <v>136</v>
      </c>
      <c r="L324" s="195"/>
    </row>
    <row r="325" spans="1:12" customFormat="1" outlineLevel="1" x14ac:dyDescent="0.2">
      <c r="A325" s="25" t="s">
        <v>2342</v>
      </c>
      <c r="B325" s="70" t="s">
        <v>663</v>
      </c>
      <c r="C325" s="107" t="s">
        <v>487</v>
      </c>
      <c r="D325" s="118">
        <f t="shared" si="34"/>
        <v>0</v>
      </c>
      <c r="E325" s="118">
        <f t="shared" si="35"/>
        <v>0</v>
      </c>
      <c r="F325" s="118">
        <f t="shared" si="36"/>
        <v>0</v>
      </c>
      <c r="G325" s="118"/>
      <c r="H325" s="304">
        <f t="shared" si="37"/>
        <v>0</v>
      </c>
      <c r="I325" s="304">
        <f t="shared" si="38"/>
        <v>0</v>
      </c>
      <c r="L325" s="195"/>
    </row>
    <row r="326" spans="1:12" customFormat="1" outlineLevel="3" x14ac:dyDescent="0.2">
      <c r="A326" s="214" t="s">
        <v>2421</v>
      </c>
      <c r="B326" s="70" t="s">
        <v>664</v>
      </c>
      <c r="C326" s="213" t="s">
        <v>487</v>
      </c>
      <c r="D326" s="118">
        <f t="shared" si="34"/>
        <v>260.83333333333331</v>
      </c>
      <c r="E326" s="118">
        <f t="shared" si="35"/>
        <v>52.166666666666679</v>
      </c>
      <c r="F326" s="118">
        <f t="shared" si="36"/>
        <v>313</v>
      </c>
      <c r="G326" s="118">
        <v>289</v>
      </c>
      <c r="H326" s="304">
        <f t="shared" si="37"/>
        <v>313.27600000000001</v>
      </c>
      <c r="I326" s="304">
        <f t="shared" si="38"/>
        <v>313</v>
      </c>
      <c r="L326" s="195"/>
    </row>
    <row r="327" spans="1:12" customFormat="1" outlineLevel="3" x14ac:dyDescent="0.2">
      <c r="A327" s="214" t="s">
        <v>2422</v>
      </c>
      <c r="B327" s="70" t="s">
        <v>665</v>
      </c>
      <c r="C327" s="213" t="s">
        <v>487</v>
      </c>
      <c r="D327" s="118">
        <f t="shared" si="34"/>
        <v>438.33333333333331</v>
      </c>
      <c r="E327" s="118">
        <f t="shared" si="35"/>
        <v>87.666666666666686</v>
      </c>
      <c r="F327" s="118">
        <f t="shared" si="36"/>
        <v>526</v>
      </c>
      <c r="G327" s="118">
        <v>485</v>
      </c>
      <c r="H327" s="304">
        <f t="shared" si="37"/>
        <v>525.74</v>
      </c>
      <c r="I327" s="304">
        <f t="shared" si="38"/>
        <v>526</v>
      </c>
      <c r="L327" s="195"/>
    </row>
    <row r="328" spans="1:12" customFormat="1" outlineLevel="3" x14ac:dyDescent="0.2">
      <c r="A328" s="214" t="s">
        <v>2423</v>
      </c>
      <c r="B328" s="70" t="s">
        <v>666</v>
      </c>
      <c r="C328" s="213" t="s">
        <v>487</v>
      </c>
      <c r="D328" s="118">
        <f t="shared" si="34"/>
        <v>655.83333333333326</v>
      </c>
      <c r="E328" s="118">
        <f t="shared" si="35"/>
        <v>131.16666666666669</v>
      </c>
      <c r="F328" s="118">
        <f t="shared" si="36"/>
        <v>787</v>
      </c>
      <c r="G328" s="118">
        <v>726</v>
      </c>
      <c r="H328" s="304">
        <f t="shared" si="37"/>
        <v>786.98400000000004</v>
      </c>
      <c r="I328" s="304">
        <f t="shared" si="38"/>
        <v>787</v>
      </c>
      <c r="L328" s="195"/>
    </row>
    <row r="329" spans="1:12" customFormat="1" outlineLevel="3" x14ac:dyDescent="0.2">
      <c r="A329" s="214" t="s">
        <v>2424</v>
      </c>
      <c r="B329" s="70" t="s">
        <v>667</v>
      </c>
      <c r="C329" s="213" t="s">
        <v>487</v>
      </c>
      <c r="D329" s="118">
        <f t="shared" si="34"/>
        <v>963.33333333333326</v>
      </c>
      <c r="E329" s="118">
        <f t="shared" si="35"/>
        <v>192.66666666666669</v>
      </c>
      <c r="F329" s="118">
        <f t="shared" si="36"/>
        <v>1156</v>
      </c>
      <c r="G329" s="118">
        <v>1066</v>
      </c>
      <c r="H329" s="304">
        <f t="shared" si="37"/>
        <v>1155.5440000000001</v>
      </c>
      <c r="I329" s="304">
        <f t="shared" si="38"/>
        <v>1156</v>
      </c>
      <c r="L329" s="195"/>
    </row>
    <row r="330" spans="1:12" customFormat="1" outlineLevel="1" x14ac:dyDescent="0.2">
      <c r="A330" s="25" t="s">
        <v>2343</v>
      </c>
      <c r="B330" s="70" t="s">
        <v>668</v>
      </c>
      <c r="C330" s="107"/>
      <c r="D330" s="118"/>
      <c r="E330" s="118"/>
      <c r="F330" s="118"/>
      <c r="G330" s="118"/>
      <c r="H330" s="304">
        <f t="shared" si="37"/>
        <v>0</v>
      </c>
      <c r="I330" s="304">
        <f t="shared" si="38"/>
        <v>0</v>
      </c>
      <c r="L330" s="195"/>
    </row>
    <row r="331" spans="1:12" customFormat="1" outlineLevel="2" x14ac:dyDescent="0.2">
      <c r="A331" s="214" t="s">
        <v>2425</v>
      </c>
      <c r="B331" s="70" t="s">
        <v>664</v>
      </c>
      <c r="C331" s="213" t="s">
        <v>487</v>
      </c>
      <c r="D331" s="118">
        <f t="shared" si="34"/>
        <v>120.83333333333333</v>
      </c>
      <c r="E331" s="118">
        <f t="shared" si="35"/>
        <v>24.166666666666671</v>
      </c>
      <c r="F331" s="118">
        <f t="shared" si="36"/>
        <v>145</v>
      </c>
      <c r="G331" s="118">
        <v>134</v>
      </c>
      <c r="H331" s="304">
        <f t="shared" si="37"/>
        <v>145.256</v>
      </c>
      <c r="I331" s="304">
        <f t="shared" si="38"/>
        <v>145</v>
      </c>
      <c r="L331" s="195"/>
    </row>
    <row r="332" spans="1:12" customFormat="1" outlineLevel="2" x14ac:dyDescent="0.2">
      <c r="A332" s="214" t="s">
        <v>2426</v>
      </c>
      <c r="B332" s="70" t="s">
        <v>665</v>
      </c>
      <c r="C332" s="213" t="s">
        <v>487</v>
      </c>
      <c r="D332" s="118">
        <f t="shared" si="34"/>
        <v>181.66666666666666</v>
      </c>
      <c r="E332" s="118">
        <f t="shared" si="35"/>
        <v>36.333333333333336</v>
      </c>
      <c r="F332" s="118">
        <f t="shared" si="36"/>
        <v>218</v>
      </c>
      <c r="G332" s="118">
        <v>201</v>
      </c>
      <c r="H332" s="304">
        <f t="shared" si="37"/>
        <v>217.88400000000001</v>
      </c>
      <c r="I332" s="304">
        <f t="shared" si="38"/>
        <v>218</v>
      </c>
      <c r="L332" s="195"/>
    </row>
    <row r="333" spans="1:12" customFormat="1" outlineLevel="2" x14ac:dyDescent="0.2">
      <c r="A333" s="214" t="s">
        <v>2427</v>
      </c>
      <c r="B333" s="70" t="s">
        <v>666</v>
      </c>
      <c r="C333" s="213" t="s">
        <v>487</v>
      </c>
      <c r="D333" s="118">
        <f t="shared" si="34"/>
        <v>254.16666666666666</v>
      </c>
      <c r="E333" s="118">
        <f t="shared" si="35"/>
        <v>50.833333333333343</v>
      </c>
      <c r="F333" s="118">
        <f t="shared" si="36"/>
        <v>305</v>
      </c>
      <c r="G333" s="118">
        <v>281</v>
      </c>
      <c r="H333" s="304">
        <f t="shared" si="37"/>
        <v>304.60400000000004</v>
      </c>
      <c r="I333" s="304">
        <f t="shared" si="38"/>
        <v>305</v>
      </c>
      <c r="L333" s="195"/>
    </row>
    <row r="334" spans="1:12" customFormat="1" outlineLevel="2" x14ac:dyDescent="0.2">
      <c r="A334" s="214" t="s">
        <v>2428</v>
      </c>
      <c r="B334" s="70" t="s">
        <v>667</v>
      </c>
      <c r="C334" s="213" t="s">
        <v>487</v>
      </c>
      <c r="D334" s="118">
        <f t="shared" si="34"/>
        <v>318.33333333333331</v>
      </c>
      <c r="E334" s="118">
        <f t="shared" si="35"/>
        <v>63.666666666666679</v>
      </c>
      <c r="F334" s="118">
        <f t="shared" si="36"/>
        <v>382</v>
      </c>
      <c r="G334" s="118">
        <v>352</v>
      </c>
      <c r="H334" s="304">
        <f t="shared" si="37"/>
        <v>381.56800000000004</v>
      </c>
      <c r="I334" s="304">
        <f t="shared" si="38"/>
        <v>382</v>
      </c>
      <c r="L334" s="195"/>
    </row>
    <row r="335" spans="1:12" customFormat="1" outlineLevel="1" x14ac:dyDescent="0.2">
      <c r="A335" s="25" t="s">
        <v>2344</v>
      </c>
      <c r="B335" s="70" t="s">
        <v>1654</v>
      </c>
      <c r="C335" s="107" t="s">
        <v>543</v>
      </c>
      <c r="D335" s="118">
        <f t="shared" si="34"/>
        <v>282.5</v>
      </c>
      <c r="E335" s="118">
        <f t="shared" si="35"/>
        <v>56.5</v>
      </c>
      <c r="F335" s="118">
        <f t="shared" si="36"/>
        <v>339</v>
      </c>
      <c r="G335" s="118">
        <v>313</v>
      </c>
      <c r="H335" s="304">
        <f t="shared" si="37"/>
        <v>339.29200000000003</v>
      </c>
      <c r="I335" s="304">
        <f t="shared" si="38"/>
        <v>339</v>
      </c>
      <c r="L335" s="195"/>
    </row>
    <row r="336" spans="1:12" customFormat="1" outlineLevel="1" x14ac:dyDescent="0.2">
      <c r="A336" s="25" t="s">
        <v>2345</v>
      </c>
      <c r="B336" s="70" t="s">
        <v>670</v>
      </c>
      <c r="C336" s="107" t="s">
        <v>543</v>
      </c>
      <c r="D336" s="118">
        <f t="shared" si="34"/>
        <v>282.5</v>
      </c>
      <c r="E336" s="118">
        <f t="shared" si="35"/>
        <v>56.5</v>
      </c>
      <c r="F336" s="118">
        <f t="shared" si="36"/>
        <v>339</v>
      </c>
      <c r="G336" s="118">
        <v>313</v>
      </c>
      <c r="H336" s="304">
        <f t="shared" si="37"/>
        <v>339.29200000000003</v>
      </c>
      <c r="I336" s="304">
        <f t="shared" si="38"/>
        <v>339</v>
      </c>
      <c r="L336" s="195"/>
    </row>
    <row r="337" spans="1:12" customFormat="1" outlineLevel="1" x14ac:dyDescent="0.2">
      <c r="A337" s="25" t="s">
        <v>2346</v>
      </c>
      <c r="B337" s="70" t="s">
        <v>3760</v>
      </c>
      <c r="C337" s="107" t="s">
        <v>543</v>
      </c>
      <c r="D337" s="118">
        <f t="shared" si="34"/>
        <v>423.33333333333331</v>
      </c>
      <c r="E337" s="118">
        <f t="shared" si="35"/>
        <v>84.666666666666686</v>
      </c>
      <c r="F337" s="118">
        <f t="shared" si="36"/>
        <v>508</v>
      </c>
      <c r="G337" s="118">
        <v>469</v>
      </c>
      <c r="H337" s="304">
        <f t="shared" si="37"/>
        <v>508.39600000000002</v>
      </c>
      <c r="I337" s="304">
        <f t="shared" si="38"/>
        <v>508</v>
      </c>
      <c r="L337" s="195"/>
    </row>
    <row r="338" spans="1:12" customFormat="1" outlineLevel="1" x14ac:dyDescent="0.2">
      <c r="A338" s="25" t="s">
        <v>2347</v>
      </c>
      <c r="B338" s="70" t="s">
        <v>672</v>
      </c>
      <c r="C338" s="107" t="s">
        <v>543</v>
      </c>
      <c r="D338" s="118">
        <f t="shared" si="34"/>
        <v>113.33333333333333</v>
      </c>
      <c r="E338" s="118">
        <f t="shared" si="35"/>
        <v>22.666666666666671</v>
      </c>
      <c r="F338" s="118">
        <f t="shared" si="36"/>
        <v>136</v>
      </c>
      <c r="G338" s="118">
        <v>125</v>
      </c>
      <c r="H338" s="304">
        <f t="shared" si="37"/>
        <v>135.5</v>
      </c>
      <c r="I338" s="304">
        <f t="shared" si="38"/>
        <v>136</v>
      </c>
      <c r="L338" s="195"/>
    </row>
    <row r="339" spans="1:12" customFormat="1" outlineLevel="1" x14ac:dyDescent="0.2">
      <c r="A339" s="25" t="s">
        <v>2348</v>
      </c>
      <c r="B339" s="70" t="s">
        <v>673</v>
      </c>
      <c r="C339" s="107" t="s">
        <v>487</v>
      </c>
      <c r="D339" s="118">
        <f t="shared" si="34"/>
        <v>169.16666666666666</v>
      </c>
      <c r="E339" s="118">
        <f t="shared" si="35"/>
        <v>33.833333333333336</v>
      </c>
      <c r="F339" s="118">
        <f t="shared" si="36"/>
        <v>203</v>
      </c>
      <c r="G339" s="118">
        <v>187</v>
      </c>
      <c r="H339" s="304">
        <f t="shared" si="37"/>
        <v>202.70800000000003</v>
      </c>
      <c r="I339" s="304">
        <f t="shared" si="38"/>
        <v>203</v>
      </c>
      <c r="L339" s="195"/>
    </row>
    <row r="340" spans="1:12" customFormat="1" outlineLevel="1" x14ac:dyDescent="0.2">
      <c r="A340" s="25" t="s">
        <v>2349</v>
      </c>
      <c r="B340" s="70" t="s">
        <v>674</v>
      </c>
      <c r="C340" s="107"/>
      <c r="D340" s="118"/>
      <c r="E340" s="118"/>
      <c r="F340" s="118"/>
      <c r="G340" s="118"/>
      <c r="H340" s="304">
        <f t="shared" si="37"/>
        <v>0</v>
      </c>
      <c r="I340" s="304">
        <f t="shared" si="38"/>
        <v>0</v>
      </c>
      <c r="L340" s="195"/>
    </row>
    <row r="341" spans="1:12" customFormat="1" outlineLevel="2" x14ac:dyDescent="0.2">
      <c r="A341" s="214" t="s">
        <v>2429</v>
      </c>
      <c r="B341" s="70" t="s">
        <v>627</v>
      </c>
      <c r="C341" s="213" t="s">
        <v>487</v>
      </c>
      <c r="D341" s="118">
        <f t="shared" si="34"/>
        <v>1552.5</v>
      </c>
      <c r="E341" s="118">
        <f t="shared" si="35"/>
        <v>310.5</v>
      </c>
      <c r="F341" s="118">
        <f t="shared" si="36"/>
        <v>1863</v>
      </c>
      <c r="G341" s="118">
        <v>1719</v>
      </c>
      <c r="H341" s="304">
        <f t="shared" si="37"/>
        <v>1863.3960000000002</v>
      </c>
      <c r="I341" s="304">
        <f t="shared" si="38"/>
        <v>1863</v>
      </c>
      <c r="L341" s="195"/>
    </row>
    <row r="342" spans="1:12" customFormat="1" outlineLevel="2" x14ac:dyDescent="0.2">
      <c r="A342" s="214" t="s">
        <v>2430</v>
      </c>
      <c r="B342" s="70" t="s">
        <v>675</v>
      </c>
      <c r="C342" s="213" t="s">
        <v>487</v>
      </c>
      <c r="D342" s="118">
        <f t="shared" si="34"/>
        <v>1412.5</v>
      </c>
      <c r="E342" s="118">
        <f t="shared" si="35"/>
        <v>282.5</v>
      </c>
      <c r="F342" s="118">
        <f t="shared" si="36"/>
        <v>1695</v>
      </c>
      <c r="G342" s="118">
        <v>1564</v>
      </c>
      <c r="H342" s="304">
        <f t="shared" si="37"/>
        <v>1695.3760000000002</v>
      </c>
      <c r="I342" s="304">
        <f t="shared" si="38"/>
        <v>1695</v>
      </c>
      <c r="L342" s="195"/>
    </row>
    <row r="343" spans="1:12" customFormat="1" outlineLevel="1" x14ac:dyDescent="0.2">
      <c r="A343" s="25" t="s">
        <v>2350</v>
      </c>
      <c r="B343" s="70" t="s">
        <v>676</v>
      </c>
      <c r="C343" s="213"/>
      <c r="D343" s="118"/>
      <c r="E343" s="118"/>
      <c r="F343" s="118"/>
      <c r="G343" s="118"/>
      <c r="H343" s="304">
        <f t="shared" si="37"/>
        <v>0</v>
      </c>
      <c r="I343" s="304">
        <f t="shared" si="38"/>
        <v>0</v>
      </c>
      <c r="L343" s="195"/>
    </row>
    <row r="344" spans="1:12" customFormat="1" outlineLevel="2" x14ac:dyDescent="0.2">
      <c r="A344" s="214" t="s">
        <v>2431</v>
      </c>
      <c r="B344" s="70" t="s">
        <v>627</v>
      </c>
      <c r="C344" s="213" t="s">
        <v>487</v>
      </c>
      <c r="D344" s="118">
        <f t="shared" si="34"/>
        <v>846.66666666666663</v>
      </c>
      <c r="E344" s="118">
        <f t="shared" si="35"/>
        <v>169.33333333333337</v>
      </c>
      <c r="F344" s="118">
        <f t="shared" si="36"/>
        <v>1016</v>
      </c>
      <c r="G344" s="118">
        <v>937</v>
      </c>
      <c r="H344" s="304">
        <f t="shared" si="37"/>
        <v>1015.7080000000001</v>
      </c>
      <c r="I344" s="304">
        <f t="shared" si="38"/>
        <v>1016</v>
      </c>
      <c r="L344" s="195"/>
    </row>
    <row r="345" spans="1:12" customFormat="1" outlineLevel="2" x14ac:dyDescent="0.2">
      <c r="A345" s="214" t="s">
        <v>2432</v>
      </c>
      <c r="B345" s="70" t="s">
        <v>675</v>
      </c>
      <c r="C345" s="213" t="s">
        <v>487</v>
      </c>
      <c r="D345" s="118">
        <f t="shared" si="34"/>
        <v>1695.8333333333333</v>
      </c>
      <c r="E345" s="118">
        <f t="shared" si="35"/>
        <v>339.16666666666674</v>
      </c>
      <c r="F345" s="118">
        <f t="shared" si="36"/>
        <v>2035</v>
      </c>
      <c r="G345" s="118">
        <v>1877</v>
      </c>
      <c r="H345" s="304">
        <f t="shared" si="37"/>
        <v>2034.6680000000001</v>
      </c>
      <c r="I345" s="304">
        <f t="shared" si="38"/>
        <v>2035</v>
      </c>
      <c r="L345" s="195"/>
    </row>
    <row r="346" spans="1:12" customFormat="1" outlineLevel="1" x14ac:dyDescent="0.2">
      <c r="A346" s="25" t="s">
        <v>2351</v>
      </c>
      <c r="B346" s="70" t="s">
        <v>683</v>
      </c>
      <c r="C346" s="213" t="s">
        <v>487</v>
      </c>
      <c r="D346" s="118">
        <f t="shared" si="34"/>
        <v>339.16666666666663</v>
      </c>
      <c r="E346" s="118">
        <f t="shared" si="35"/>
        <v>67.833333333333343</v>
      </c>
      <c r="F346" s="118">
        <f t="shared" si="36"/>
        <v>407</v>
      </c>
      <c r="G346" s="118">
        <v>375</v>
      </c>
      <c r="H346" s="304">
        <f t="shared" si="37"/>
        <v>406.5</v>
      </c>
      <c r="I346" s="304">
        <f t="shared" si="38"/>
        <v>407</v>
      </c>
      <c r="L346" s="195"/>
    </row>
    <row r="347" spans="1:12" customFormat="1" outlineLevel="1" x14ac:dyDescent="0.2">
      <c r="A347" s="25" t="s">
        <v>2352</v>
      </c>
      <c r="B347" s="70" t="s">
        <v>684</v>
      </c>
      <c r="C347" s="213"/>
      <c r="D347" s="118"/>
      <c r="E347" s="118"/>
      <c r="F347" s="118"/>
      <c r="G347" s="118"/>
      <c r="H347" s="304">
        <f t="shared" si="37"/>
        <v>0</v>
      </c>
      <c r="I347" s="304">
        <f t="shared" si="38"/>
        <v>0</v>
      </c>
      <c r="L347" s="195"/>
    </row>
    <row r="348" spans="1:12" customFormat="1" outlineLevel="2" x14ac:dyDescent="0.2">
      <c r="A348" s="214" t="s">
        <v>3398</v>
      </c>
      <c r="B348" s="70" t="s">
        <v>644</v>
      </c>
      <c r="C348" s="213" t="s">
        <v>487</v>
      </c>
      <c r="D348" s="118">
        <f t="shared" si="34"/>
        <v>706.66666666666663</v>
      </c>
      <c r="E348" s="118">
        <f t="shared" si="35"/>
        <v>141.33333333333334</v>
      </c>
      <c r="F348" s="118">
        <f t="shared" si="36"/>
        <v>848</v>
      </c>
      <c r="G348" s="118">
        <v>782</v>
      </c>
      <c r="H348" s="304">
        <f t="shared" si="37"/>
        <v>847.6880000000001</v>
      </c>
      <c r="I348" s="304">
        <f t="shared" si="38"/>
        <v>848</v>
      </c>
      <c r="L348" s="195"/>
    </row>
    <row r="349" spans="1:12" customFormat="1" outlineLevel="2" x14ac:dyDescent="0.2">
      <c r="A349" s="214" t="s">
        <v>3399</v>
      </c>
      <c r="B349" s="70" t="s">
        <v>685</v>
      </c>
      <c r="C349" s="213" t="s">
        <v>487</v>
      </c>
      <c r="D349" s="118">
        <f t="shared" si="34"/>
        <v>1130</v>
      </c>
      <c r="E349" s="118">
        <f t="shared" si="35"/>
        <v>226</v>
      </c>
      <c r="F349" s="118">
        <f t="shared" si="36"/>
        <v>1356</v>
      </c>
      <c r="G349" s="118">
        <v>1251</v>
      </c>
      <c r="H349" s="304">
        <f t="shared" si="37"/>
        <v>1356.0840000000001</v>
      </c>
      <c r="I349" s="304">
        <f t="shared" si="38"/>
        <v>1356</v>
      </c>
      <c r="L349" s="195"/>
    </row>
    <row r="350" spans="1:12" customFormat="1" outlineLevel="1" x14ac:dyDescent="0.2">
      <c r="A350" s="25" t="s">
        <v>2353</v>
      </c>
      <c r="B350" s="70" t="s">
        <v>686</v>
      </c>
      <c r="C350" s="213"/>
      <c r="D350" s="118"/>
      <c r="E350" s="118"/>
      <c r="F350" s="118"/>
      <c r="G350" s="118"/>
      <c r="H350" s="304">
        <f t="shared" si="37"/>
        <v>0</v>
      </c>
      <c r="I350" s="304">
        <f t="shared" si="38"/>
        <v>0</v>
      </c>
      <c r="L350" s="195"/>
    </row>
    <row r="351" spans="1:12" customFormat="1" outlineLevel="2" x14ac:dyDescent="0.2">
      <c r="A351" s="214" t="s">
        <v>3400</v>
      </c>
      <c r="B351" s="70" t="s">
        <v>644</v>
      </c>
      <c r="C351" s="213" t="s">
        <v>487</v>
      </c>
      <c r="D351" s="118">
        <f t="shared" si="34"/>
        <v>1412.5</v>
      </c>
      <c r="E351" s="118">
        <f t="shared" si="35"/>
        <v>282.5</v>
      </c>
      <c r="F351" s="118">
        <f t="shared" si="36"/>
        <v>1695</v>
      </c>
      <c r="G351" s="118">
        <v>1564</v>
      </c>
      <c r="H351" s="304">
        <f t="shared" si="37"/>
        <v>1695.3760000000002</v>
      </c>
      <c r="I351" s="304">
        <f t="shared" si="38"/>
        <v>1695</v>
      </c>
      <c r="L351" s="195"/>
    </row>
    <row r="352" spans="1:12" customFormat="1" outlineLevel="2" x14ac:dyDescent="0.2">
      <c r="A352" s="214" t="s">
        <v>3401</v>
      </c>
      <c r="B352" s="70" t="s">
        <v>685</v>
      </c>
      <c r="C352" s="213" t="s">
        <v>487</v>
      </c>
      <c r="D352" s="118">
        <f t="shared" si="34"/>
        <v>2260</v>
      </c>
      <c r="E352" s="118">
        <f t="shared" si="35"/>
        <v>452</v>
      </c>
      <c r="F352" s="118">
        <f t="shared" si="36"/>
        <v>2712</v>
      </c>
      <c r="G352" s="118">
        <v>2502</v>
      </c>
      <c r="H352" s="304">
        <f t="shared" si="37"/>
        <v>2712.1680000000001</v>
      </c>
      <c r="I352" s="304">
        <f t="shared" si="38"/>
        <v>2712</v>
      </c>
      <c r="L352" s="195"/>
    </row>
    <row r="353" spans="1:12" customFormat="1" outlineLevel="1" x14ac:dyDescent="0.2">
      <c r="A353" s="25" t="s">
        <v>2354</v>
      </c>
      <c r="B353" s="70" t="s">
        <v>1215</v>
      </c>
      <c r="C353" s="213"/>
      <c r="D353" s="118"/>
      <c r="E353" s="118"/>
      <c r="F353" s="118"/>
      <c r="G353" s="118"/>
      <c r="H353" s="304">
        <f t="shared" si="37"/>
        <v>0</v>
      </c>
      <c r="I353" s="304">
        <f t="shared" si="38"/>
        <v>0</v>
      </c>
      <c r="L353" s="195"/>
    </row>
    <row r="354" spans="1:12" customFormat="1" outlineLevel="2" x14ac:dyDescent="0.2">
      <c r="A354" s="214" t="s">
        <v>3402</v>
      </c>
      <c r="B354" s="70" t="s">
        <v>988</v>
      </c>
      <c r="C354" s="213" t="s">
        <v>487</v>
      </c>
      <c r="D354" s="118">
        <f t="shared" si="34"/>
        <v>1130</v>
      </c>
      <c r="E354" s="118">
        <f t="shared" si="35"/>
        <v>226</v>
      </c>
      <c r="F354" s="118">
        <f t="shared" si="36"/>
        <v>1356</v>
      </c>
      <c r="G354" s="118">
        <v>1251</v>
      </c>
      <c r="H354" s="304">
        <f t="shared" si="37"/>
        <v>1356.0840000000001</v>
      </c>
      <c r="I354" s="304">
        <f t="shared" si="38"/>
        <v>1356</v>
      </c>
      <c r="L354" s="195"/>
    </row>
    <row r="355" spans="1:12" customFormat="1" outlineLevel="2" x14ac:dyDescent="0.2">
      <c r="A355" s="214" t="s">
        <v>3403</v>
      </c>
      <c r="B355" s="70" t="s">
        <v>987</v>
      </c>
      <c r="C355" s="213" t="s">
        <v>487</v>
      </c>
      <c r="D355" s="118">
        <f t="shared" si="34"/>
        <v>1260</v>
      </c>
      <c r="E355" s="118">
        <f t="shared" si="35"/>
        <v>252</v>
      </c>
      <c r="F355" s="118">
        <f t="shared" si="36"/>
        <v>1512</v>
      </c>
      <c r="G355" s="118">
        <v>1395</v>
      </c>
      <c r="H355" s="304">
        <f t="shared" si="37"/>
        <v>1512.18</v>
      </c>
      <c r="I355" s="304">
        <f t="shared" si="38"/>
        <v>1512</v>
      </c>
      <c r="L355" s="195"/>
    </row>
    <row r="356" spans="1:12" customFormat="1" ht="31.5" outlineLevel="1" x14ac:dyDescent="0.2">
      <c r="A356" s="25" t="s">
        <v>2355</v>
      </c>
      <c r="B356" s="70" t="s">
        <v>1216</v>
      </c>
      <c r="C356" s="213"/>
      <c r="D356" s="118"/>
      <c r="E356" s="118"/>
      <c r="F356" s="118"/>
      <c r="G356" s="118"/>
      <c r="H356" s="304">
        <f t="shared" si="37"/>
        <v>0</v>
      </c>
      <c r="I356" s="304">
        <f t="shared" si="38"/>
        <v>0</v>
      </c>
      <c r="L356" s="195"/>
    </row>
    <row r="357" spans="1:12" customFormat="1" outlineLevel="2" x14ac:dyDescent="0.2">
      <c r="A357" s="214" t="s">
        <v>3404</v>
      </c>
      <c r="B357" s="70" t="s">
        <v>687</v>
      </c>
      <c r="C357" s="213" t="s">
        <v>487</v>
      </c>
      <c r="D357" s="118">
        <f t="shared" si="34"/>
        <v>423.33333333333331</v>
      </c>
      <c r="E357" s="118">
        <f t="shared" si="35"/>
        <v>84.666666666666686</v>
      </c>
      <c r="F357" s="118">
        <f t="shared" si="36"/>
        <v>508</v>
      </c>
      <c r="G357" s="118">
        <v>469</v>
      </c>
      <c r="H357" s="304">
        <f t="shared" si="37"/>
        <v>508.39600000000002</v>
      </c>
      <c r="I357" s="304">
        <f t="shared" si="38"/>
        <v>508</v>
      </c>
      <c r="L357" s="195"/>
    </row>
    <row r="358" spans="1:12" customFormat="1" outlineLevel="2" x14ac:dyDescent="0.2">
      <c r="A358" s="214" t="s">
        <v>3405</v>
      </c>
      <c r="B358" s="70" t="s">
        <v>688</v>
      </c>
      <c r="C358" s="213" t="s">
        <v>487</v>
      </c>
      <c r="D358" s="118">
        <f t="shared" si="34"/>
        <v>1035.8333333333333</v>
      </c>
      <c r="E358" s="118">
        <f t="shared" si="35"/>
        <v>207.16666666666671</v>
      </c>
      <c r="F358" s="118">
        <f t="shared" si="36"/>
        <v>1243</v>
      </c>
      <c r="G358" s="118">
        <v>1147</v>
      </c>
      <c r="H358" s="304">
        <f t="shared" si="37"/>
        <v>1243.3480000000002</v>
      </c>
      <c r="I358" s="304">
        <f t="shared" si="38"/>
        <v>1243</v>
      </c>
      <c r="L358" s="195"/>
    </row>
    <row r="359" spans="1:12" customFormat="1" ht="31.5" outlineLevel="1" x14ac:dyDescent="0.2">
      <c r="A359" s="25" t="s">
        <v>2356</v>
      </c>
      <c r="B359" s="70" t="s">
        <v>689</v>
      </c>
      <c r="C359" s="107" t="s">
        <v>487</v>
      </c>
      <c r="D359" s="118">
        <f t="shared" si="34"/>
        <v>2615.833333333333</v>
      </c>
      <c r="E359" s="118">
        <f t="shared" si="35"/>
        <v>523.16666666666674</v>
      </c>
      <c r="F359" s="118">
        <f t="shared" si="36"/>
        <v>3139</v>
      </c>
      <c r="G359" s="118">
        <v>2896</v>
      </c>
      <c r="H359" s="304">
        <f t="shared" si="37"/>
        <v>3139.2640000000001</v>
      </c>
      <c r="I359" s="304">
        <f t="shared" si="38"/>
        <v>3139</v>
      </c>
      <c r="L359" s="195"/>
    </row>
    <row r="360" spans="1:12" customFormat="1" outlineLevel="1" x14ac:dyDescent="0.2">
      <c r="A360" s="25" t="s">
        <v>2357</v>
      </c>
      <c r="B360" s="70" t="s">
        <v>690</v>
      </c>
      <c r="C360" s="107" t="s">
        <v>487</v>
      </c>
      <c r="D360" s="118">
        <f t="shared" si="34"/>
        <v>419.16666666666663</v>
      </c>
      <c r="E360" s="118">
        <f t="shared" si="35"/>
        <v>83.833333333333343</v>
      </c>
      <c r="F360" s="118">
        <f t="shared" si="36"/>
        <v>503</v>
      </c>
      <c r="G360" s="118">
        <v>464</v>
      </c>
      <c r="H360" s="304">
        <f t="shared" si="37"/>
        <v>502.97600000000006</v>
      </c>
      <c r="I360" s="304">
        <f t="shared" si="38"/>
        <v>503</v>
      </c>
      <c r="L360" s="195"/>
    </row>
    <row r="361" spans="1:12" customFormat="1" outlineLevel="1" x14ac:dyDescent="0.2">
      <c r="A361" s="25" t="s">
        <v>2358</v>
      </c>
      <c r="B361" s="70" t="s">
        <v>691</v>
      </c>
      <c r="C361" s="107" t="s">
        <v>543</v>
      </c>
      <c r="D361" s="118">
        <f t="shared" si="34"/>
        <v>367.5</v>
      </c>
      <c r="E361" s="118">
        <f t="shared" si="35"/>
        <v>73.5</v>
      </c>
      <c r="F361" s="118">
        <f t="shared" si="36"/>
        <v>441</v>
      </c>
      <c r="G361" s="118">
        <v>407</v>
      </c>
      <c r="H361" s="304">
        <f t="shared" si="37"/>
        <v>441.18800000000005</v>
      </c>
      <c r="I361" s="304">
        <f t="shared" si="38"/>
        <v>441</v>
      </c>
      <c r="L361" s="195"/>
    </row>
    <row r="362" spans="1:12" customFormat="1" outlineLevel="1" x14ac:dyDescent="0.2">
      <c r="A362" s="25" t="s">
        <v>2359</v>
      </c>
      <c r="B362" s="70" t="s">
        <v>692</v>
      </c>
      <c r="C362" s="107" t="s">
        <v>543</v>
      </c>
      <c r="D362" s="118">
        <f t="shared" si="34"/>
        <v>565.83333333333326</v>
      </c>
      <c r="E362" s="118">
        <f t="shared" si="35"/>
        <v>113.16666666666669</v>
      </c>
      <c r="F362" s="118">
        <f t="shared" si="36"/>
        <v>679</v>
      </c>
      <c r="G362" s="118">
        <v>626</v>
      </c>
      <c r="H362" s="304">
        <f t="shared" si="37"/>
        <v>678.58400000000006</v>
      </c>
      <c r="I362" s="304">
        <f t="shared" si="38"/>
        <v>679</v>
      </c>
      <c r="L362" s="195"/>
    </row>
    <row r="363" spans="1:12" customFormat="1" outlineLevel="1" x14ac:dyDescent="0.2">
      <c r="A363" s="25" t="s">
        <v>2360</v>
      </c>
      <c r="B363" s="70" t="s">
        <v>693</v>
      </c>
      <c r="C363" s="107"/>
      <c r="D363" s="118"/>
      <c r="E363" s="118"/>
      <c r="F363" s="118"/>
      <c r="G363" s="118"/>
      <c r="H363" s="304">
        <f t="shared" si="37"/>
        <v>0</v>
      </c>
      <c r="I363" s="304">
        <f t="shared" si="38"/>
        <v>0</v>
      </c>
      <c r="L363" s="195"/>
    </row>
    <row r="364" spans="1:12" customFormat="1" outlineLevel="2" x14ac:dyDescent="0.2">
      <c r="A364" s="214" t="s">
        <v>2433</v>
      </c>
      <c r="B364" s="70" t="s">
        <v>695</v>
      </c>
      <c r="C364" s="213" t="s">
        <v>694</v>
      </c>
      <c r="D364" s="118">
        <f t="shared" si="34"/>
        <v>113.33333333333333</v>
      </c>
      <c r="E364" s="118">
        <f t="shared" si="35"/>
        <v>22.666666666666671</v>
      </c>
      <c r="F364" s="118">
        <f t="shared" si="36"/>
        <v>136</v>
      </c>
      <c r="G364" s="118">
        <v>125</v>
      </c>
      <c r="H364" s="304">
        <f t="shared" si="37"/>
        <v>135.5</v>
      </c>
      <c r="I364" s="304">
        <f t="shared" si="38"/>
        <v>136</v>
      </c>
      <c r="L364" s="195"/>
    </row>
    <row r="365" spans="1:12" customFormat="1" outlineLevel="2" x14ac:dyDescent="0.2">
      <c r="A365" s="214" t="s">
        <v>2434</v>
      </c>
      <c r="B365" s="70" t="s">
        <v>696</v>
      </c>
      <c r="C365" s="213" t="s">
        <v>694</v>
      </c>
      <c r="D365" s="118">
        <f t="shared" si="34"/>
        <v>255</v>
      </c>
      <c r="E365" s="118">
        <f t="shared" si="35"/>
        <v>51</v>
      </c>
      <c r="F365" s="118">
        <f t="shared" si="36"/>
        <v>306</v>
      </c>
      <c r="G365" s="118">
        <v>282</v>
      </c>
      <c r="H365" s="304">
        <f t="shared" si="37"/>
        <v>305.68800000000005</v>
      </c>
      <c r="I365" s="304">
        <f t="shared" si="38"/>
        <v>306</v>
      </c>
      <c r="L365" s="195"/>
    </row>
    <row r="366" spans="1:12" customFormat="1" outlineLevel="2" x14ac:dyDescent="0.2">
      <c r="A366" s="214" t="s">
        <v>3406</v>
      </c>
      <c r="B366" s="70" t="s">
        <v>697</v>
      </c>
      <c r="C366" s="213" t="s">
        <v>694</v>
      </c>
      <c r="D366" s="118">
        <f t="shared" ref="D366:D428" si="39">F366-E366</f>
        <v>508.33333333333331</v>
      </c>
      <c r="E366" s="118">
        <f t="shared" si="35"/>
        <v>101.66666666666669</v>
      </c>
      <c r="F366" s="118">
        <f t="shared" ref="F366:F428" si="40">I366</f>
        <v>610</v>
      </c>
      <c r="G366" s="118">
        <v>563</v>
      </c>
      <c r="H366" s="304">
        <f t="shared" ref="H366:H429" si="41">G366*$H$8</f>
        <v>610.29200000000003</v>
      </c>
      <c r="I366" s="304">
        <f t="shared" ref="I366:I429" si="42">ROUND(H366,0)</f>
        <v>610</v>
      </c>
      <c r="L366" s="195"/>
    </row>
    <row r="367" spans="1:12" customFormat="1" outlineLevel="1" x14ac:dyDescent="0.2">
      <c r="A367" s="25" t="s">
        <v>2361</v>
      </c>
      <c r="B367" s="70" t="s">
        <v>698</v>
      </c>
      <c r="C367" s="107" t="s">
        <v>694</v>
      </c>
      <c r="D367" s="118">
        <f t="shared" si="39"/>
        <v>734.16666666666663</v>
      </c>
      <c r="E367" s="118">
        <f t="shared" ref="E367:E430" si="43">F367/1.2*0.2</f>
        <v>146.83333333333334</v>
      </c>
      <c r="F367" s="118">
        <f t="shared" si="40"/>
        <v>881</v>
      </c>
      <c r="G367" s="118">
        <v>813</v>
      </c>
      <c r="H367" s="304">
        <f t="shared" si="41"/>
        <v>881.29200000000003</v>
      </c>
      <c r="I367" s="304">
        <f t="shared" si="42"/>
        <v>881</v>
      </c>
      <c r="L367" s="195"/>
    </row>
    <row r="368" spans="1:12" customFormat="1" outlineLevel="1" x14ac:dyDescent="0.2">
      <c r="A368" s="25" t="s">
        <v>2362</v>
      </c>
      <c r="B368" s="70" t="s">
        <v>699</v>
      </c>
      <c r="C368" s="107"/>
      <c r="D368" s="118"/>
      <c r="E368" s="118"/>
      <c r="F368" s="118"/>
      <c r="G368" s="118"/>
      <c r="H368" s="304">
        <f t="shared" si="41"/>
        <v>0</v>
      </c>
      <c r="I368" s="304">
        <f t="shared" si="42"/>
        <v>0</v>
      </c>
      <c r="L368" s="195"/>
    </row>
    <row r="369" spans="1:12" customFormat="1" outlineLevel="2" x14ac:dyDescent="0.2">
      <c r="A369" s="214" t="s">
        <v>3407</v>
      </c>
      <c r="B369" s="70" t="s">
        <v>701</v>
      </c>
      <c r="C369" s="213" t="s">
        <v>700</v>
      </c>
      <c r="D369" s="118">
        <f t="shared" si="39"/>
        <v>1695.8333333333333</v>
      </c>
      <c r="E369" s="118">
        <f t="shared" si="43"/>
        <v>339.16666666666674</v>
      </c>
      <c r="F369" s="118">
        <f t="shared" si="40"/>
        <v>2035</v>
      </c>
      <c r="G369" s="118">
        <v>1877</v>
      </c>
      <c r="H369" s="304">
        <f t="shared" si="41"/>
        <v>2034.6680000000001</v>
      </c>
      <c r="I369" s="304">
        <f t="shared" si="42"/>
        <v>2035</v>
      </c>
      <c r="L369" s="195"/>
    </row>
    <row r="370" spans="1:12" customFormat="1" outlineLevel="2" x14ac:dyDescent="0.2">
      <c r="A370" s="214" t="s">
        <v>3408</v>
      </c>
      <c r="B370" s="70" t="s">
        <v>702</v>
      </c>
      <c r="C370" s="213" t="s">
        <v>700</v>
      </c>
      <c r="D370" s="118">
        <f t="shared" si="39"/>
        <v>2542.5</v>
      </c>
      <c r="E370" s="118">
        <f t="shared" si="43"/>
        <v>508.5</v>
      </c>
      <c r="F370" s="118">
        <f t="shared" si="40"/>
        <v>3051</v>
      </c>
      <c r="G370" s="118">
        <v>2815</v>
      </c>
      <c r="H370" s="304">
        <f t="shared" si="41"/>
        <v>3051.46</v>
      </c>
      <c r="I370" s="304">
        <f t="shared" si="42"/>
        <v>3051</v>
      </c>
      <c r="L370" s="195"/>
    </row>
    <row r="371" spans="1:12" customFormat="1" outlineLevel="2" x14ac:dyDescent="0.2">
      <c r="A371" s="214" t="s">
        <v>3409</v>
      </c>
      <c r="B371" s="70" t="s">
        <v>703</v>
      </c>
      <c r="C371" s="213" t="s">
        <v>700</v>
      </c>
      <c r="D371" s="118">
        <f t="shared" si="39"/>
        <v>3249.1666666666665</v>
      </c>
      <c r="E371" s="118">
        <f t="shared" si="43"/>
        <v>649.83333333333348</v>
      </c>
      <c r="F371" s="118">
        <f t="shared" si="40"/>
        <v>3899</v>
      </c>
      <c r="G371" s="118">
        <v>3597</v>
      </c>
      <c r="H371" s="304">
        <f t="shared" si="41"/>
        <v>3899.1480000000001</v>
      </c>
      <c r="I371" s="304">
        <f t="shared" si="42"/>
        <v>3899</v>
      </c>
      <c r="L371" s="195"/>
    </row>
    <row r="372" spans="1:12" customFormat="1" hidden="1" outlineLevel="1" x14ac:dyDescent="0.2">
      <c r="A372" s="25" t="s">
        <v>2369</v>
      </c>
      <c r="B372" s="70" t="s">
        <v>704</v>
      </c>
      <c r="C372" s="107" t="s">
        <v>487</v>
      </c>
      <c r="D372" s="118">
        <f t="shared" si="39"/>
        <v>0</v>
      </c>
      <c r="E372" s="118">
        <f t="shared" si="43"/>
        <v>0</v>
      </c>
      <c r="F372" s="118">
        <f t="shared" si="40"/>
        <v>0</v>
      </c>
      <c r="G372" s="118"/>
      <c r="H372" s="304">
        <f t="shared" si="41"/>
        <v>0</v>
      </c>
      <c r="I372" s="304">
        <f t="shared" si="42"/>
        <v>0</v>
      </c>
      <c r="L372" s="195"/>
    </row>
    <row r="373" spans="1:12" customFormat="1" hidden="1" outlineLevel="2" x14ac:dyDescent="0.2">
      <c r="A373" s="236" t="s">
        <v>2441</v>
      </c>
      <c r="B373" s="237" t="s">
        <v>984</v>
      </c>
      <c r="C373" s="238" t="s">
        <v>487</v>
      </c>
      <c r="D373" s="118">
        <f t="shared" si="39"/>
        <v>288.33333333333331</v>
      </c>
      <c r="E373" s="118">
        <f t="shared" si="43"/>
        <v>57.666666666666679</v>
      </c>
      <c r="F373" s="118">
        <f t="shared" si="40"/>
        <v>346</v>
      </c>
      <c r="G373" s="239">
        <v>319</v>
      </c>
      <c r="H373" s="304">
        <f t="shared" si="41"/>
        <v>345.79600000000005</v>
      </c>
      <c r="I373" s="304">
        <f t="shared" si="42"/>
        <v>346</v>
      </c>
      <c r="K373" t="s">
        <v>3173</v>
      </c>
      <c r="L373" s="195"/>
    </row>
    <row r="374" spans="1:12" customFormat="1" hidden="1" outlineLevel="2" x14ac:dyDescent="0.2">
      <c r="A374" s="236" t="s">
        <v>2442</v>
      </c>
      <c r="B374" s="237" t="s">
        <v>985</v>
      </c>
      <c r="C374" s="238" t="s">
        <v>487</v>
      </c>
      <c r="D374" s="118">
        <f t="shared" si="39"/>
        <v>559.16666666666663</v>
      </c>
      <c r="E374" s="118">
        <f t="shared" si="43"/>
        <v>111.83333333333336</v>
      </c>
      <c r="F374" s="118">
        <f t="shared" si="40"/>
        <v>671</v>
      </c>
      <c r="G374" s="239">
        <v>619</v>
      </c>
      <c r="H374" s="304">
        <f t="shared" si="41"/>
        <v>670.99600000000009</v>
      </c>
      <c r="I374" s="304">
        <f t="shared" si="42"/>
        <v>671</v>
      </c>
      <c r="L374" s="195"/>
    </row>
    <row r="375" spans="1:12" customFormat="1" hidden="1" outlineLevel="2" x14ac:dyDescent="0.2">
      <c r="A375" s="240" t="s">
        <v>2443</v>
      </c>
      <c r="B375" s="246" t="s">
        <v>986</v>
      </c>
      <c r="C375" s="241" t="s">
        <v>487</v>
      </c>
      <c r="D375" s="118">
        <f t="shared" si="39"/>
        <v>1675</v>
      </c>
      <c r="E375" s="118">
        <f t="shared" si="43"/>
        <v>335</v>
      </c>
      <c r="F375" s="118">
        <f t="shared" si="40"/>
        <v>2010</v>
      </c>
      <c r="G375" s="242">
        <v>1854</v>
      </c>
      <c r="H375" s="304">
        <f t="shared" si="41"/>
        <v>2009.7360000000001</v>
      </c>
      <c r="I375" s="304">
        <f t="shared" si="42"/>
        <v>2010</v>
      </c>
      <c r="L375" s="195"/>
    </row>
    <row r="376" spans="1:12" customFormat="1" outlineLevel="1" x14ac:dyDescent="0.2">
      <c r="A376" s="253" t="s">
        <v>2363</v>
      </c>
      <c r="B376" s="181" t="s">
        <v>3175</v>
      </c>
      <c r="C376" s="251"/>
      <c r="D376" s="118"/>
      <c r="E376" s="118"/>
      <c r="F376" s="118"/>
      <c r="G376" s="254"/>
      <c r="H376" s="304">
        <f t="shared" si="41"/>
        <v>0</v>
      </c>
      <c r="I376" s="304">
        <f t="shared" si="42"/>
        <v>0</v>
      </c>
      <c r="K376" t="s">
        <v>3174</v>
      </c>
      <c r="L376" s="195"/>
    </row>
    <row r="377" spans="1:12" customFormat="1" outlineLevel="2" x14ac:dyDescent="0.2">
      <c r="A377" s="251" t="s">
        <v>3410</v>
      </c>
      <c r="B377" s="181" t="s">
        <v>3176</v>
      </c>
      <c r="C377" s="251" t="s">
        <v>487</v>
      </c>
      <c r="D377" s="118">
        <f t="shared" si="39"/>
        <v>1355</v>
      </c>
      <c r="E377" s="118">
        <f t="shared" si="43"/>
        <v>271</v>
      </c>
      <c r="F377" s="118">
        <f t="shared" si="40"/>
        <v>1626</v>
      </c>
      <c r="G377" s="255">
        <v>1500</v>
      </c>
      <c r="H377" s="331">
        <f t="shared" si="41"/>
        <v>1626</v>
      </c>
      <c r="I377" s="304">
        <f t="shared" si="42"/>
        <v>1626</v>
      </c>
      <c r="L377" s="195"/>
    </row>
    <row r="378" spans="1:12" customFormat="1" outlineLevel="2" x14ac:dyDescent="0.2">
      <c r="A378" s="251" t="s">
        <v>3411</v>
      </c>
      <c r="B378" s="181" t="s">
        <v>3177</v>
      </c>
      <c r="C378" s="251" t="s">
        <v>487</v>
      </c>
      <c r="D378" s="118">
        <f t="shared" si="39"/>
        <v>4516.6666666666661</v>
      </c>
      <c r="E378" s="118">
        <f t="shared" si="43"/>
        <v>903.33333333333348</v>
      </c>
      <c r="F378" s="118">
        <f t="shared" si="40"/>
        <v>5420</v>
      </c>
      <c r="G378" s="255">
        <v>5000</v>
      </c>
      <c r="H378" s="331">
        <f t="shared" si="41"/>
        <v>5420</v>
      </c>
      <c r="I378" s="304">
        <f t="shared" si="42"/>
        <v>5420</v>
      </c>
      <c r="L378" s="195"/>
    </row>
    <row r="379" spans="1:12" customFormat="1" outlineLevel="2" x14ac:dyDescent="0.2">
      <c r="A379" s="251" t="s">
        <v>3412</v>
      </c>
      <c r="B379" s="181" t="s">
        <v>3178</v>
      </c>
      <c r="C379" s="251" t="s">
        <v>487</v>
      </c>
      <c r="D379" s="118">
        <f t="shared" si="39"/>
        <v>6323.333333333333</v>
      </c>
      <c r="E379" s="118">
        <f t="shared" si="43"/>
        <v>1264.666666666667</v>
      </c>
      <c r="F379" s="118">
        <f t="shared" si="40"/>
        <v>7588</v>
      </c>
      <c r="G379" s="255">
        <v>7000</v>
      </c>
      <c r="H379" s="304">
        <f>G379*$H$8</f>
        <v>7588.0000000000009</v>
      </c>
      <c r="I379" s="304">
        <f t="shared" si="42"/>
        <v>7588</v>
      </c>
      <c r="L379" s="195"/>
    </row>
    <row r="380" spans="1:12" customFormat="1" outlineLevel="2" x14ac:dyDescent="0.2">
      <c r="A380" s="251" t="s">
        <v>3413</v>
      </c>
      <c r="B380" s="181" t="s">
        <v>3179</v>
      </c>
      <c r="C380" s="251" t="s">
        <v>487</v>
      </c>
      <c r="D380" s="118">
        <f t="shared" si="39"/>
        <v>8130</v>
      </c>
      <c r="E380" s="118">
        <f t="shared" si="43"/>
        <v>1626</v>
      </c>
      <c r="F380" s="118">
        <f t="shared" si="40"/>
        <v>9756</v>
      </c>
      <c r="G380" s="255">
        <v>9000</v>
      </c>
      <c r="H380" s="304">
        <f t="shared" ref="H380:H382" si="44">G380*$H$8</f>
        <v>9756</v>
      </c>
      <c r="I380" s="304">
        <f t="shared" si="42"/>
        <v>9756</v>
      </c>
      <c r="L380" s="195"/>
    </row>
    <row r="381" spans="1:12" customFormat="1" outlineLevel="2" x14ac:dyDescent="0.2">
      <c r="A381" s="251" t="s">
        <v>3414</v>
      </c>
      <c r="B381" s="181" t="s">
        <v>3180</v>
      </c>
      <c r="C381" s="251" t="s">
        <v>487</v>
      </c>
      <c r="D381" s="118">
        <f t="shared" si="39"/>
        <v>9033.3333333333321</v>
      </c>
      <c r="E381" s="118">
        <f t="shared" si="43"/>
        <v>1806.666666666667</v>
      </c>
      <c r="F381" s="118">
        <f t="shared" si="40"/>
        <v>10840</v>
      </c>
      <c r="G381" s="255">
        <v>10000</v>
      </c>
      <c r="H381" s="304">
        <f t="shared" si="44"/>
        <v>10840</v>
      </c>
      <c r="I381" s="304">
        <f t="shared" si="42"/>
        <v>10840</v>
      </c>
      <c r="L381" s="195"/>
    </row>
    <row r="382" spans="1:12" customFormat="1" outlineLevel="1" x14ac:dyDescent="0.2">
      <c r="A382" s="25" t="s">
        <v>2364</v>
      </c>
      <c r="B382" s="70" t="s">
        <v>705</v>
      </c>
      <c r="C382" s="213" t="s">
        <v>487</v>
      </c>
      <c r="D382" s="118">
        <f t="shared" si="39"/>
        <v>1271.6666666666665</v>
      </c>
      <c r="E382" s="118">
        <f t="shared" si="43"/>
        <v>254.33333333333337</v>
      </c>
      <c r="F382" s="118">
        <f t="shared" si="40"/>
        <v>1526</v>
      </c>
      <c r="G382" s="118">
        <v>1408</v>
      </c>
      <c r="H382" s="304">
        <f t="shared" si="44"/>
        <v>1526.2720000000002</v>
      </c>
      <c r="I382" s="304">
        <f t="shared" si="42"/>
        <v>1526</v>
      </c>
      <c r="L382" s="195"/>
    </row>
    <row r="383" spans="1:12" customFormat="1" outlineLevel="1" x14ac:dyDescent="0.2">
      <c r="A383" s="25" t="s">
        <v>2365</v>
      </c>
      <c r="B383" s="70" t="s">
        <v>706</v>
      </c>
      <c r="C383" s="213"/>
      <c r="D383" s="118"/>
      <c r="E383" s="118"/>
      <c r="F383" s="118"/>
      <c r="G383" s="118"/>
      <c r="H383" s="304">
        <f t="shared" si="41"/>
        <v>0</v>
      </c>
      <c r="I383" s="304">
        <f t="shared" si="42"/>
        <v>0</v>
      </c>
      <c r="L383" s="195"/>
    </row>
    <row r="384" spans="1:12" customFormat="1" outlineLevel="3" x14ac:dyDescent="0.2">
      <c r="A384" s="214" t="s">
        <v>3415</v>
      </c>
      <c r="B384" s="70" t="s">
        <v>707</v>
      </c>
      <c r="C384" s="213" t="s">
        <v>487</v>
      </c>
      <c r="D384" s="118">
        <f t="shared" si="39"/>
        <v>113.33333333333333</v>
      </c>
      <c r="E384" s="118">
        <f t="shared" si="43"/>
        <v>22.666666666666671</v>
      </c>
      <c r="F384" s="118">
        <f t="shared" si="40"/>
        <v>136</v>
      </c>
      <c r="G384" s="118">
        <v>125</v>
      </c>
      <c r="H384" s="304">
        <f t="shared" si="41"/>
        <v>135.5</v>
      </c>
      <c r="I384" s="304">
        <f t="shared" si="42"/>
        <v>136</v>
      </c>
      <c r="L384" s="195"/>
    </row>
    <row r="385" spans="1:12" customFormat="1" outlineLevel="3" x14ac:dyDescent="0.2">
      <c r="A385" s="214" t="s">
        <v>3416</v>
      </c>
      <c r="B385" s="70" t="s">
        <v>708</v>
      </c>
      <c r="C385" s="213" t="s">
        <v>487</v>
      </c>
      <c r="D385" s="118">
        <f t="shared" si="39"/>
        <v>226.66666666666666</v>
      </c>
      <c r="E385" s="118">
        <f t="shared" si="43"/>
        <v>45.333333333333343</v>
      </c>
      <c r="F385" s="118">
        <f t="shared" si="40"/>
        <v>272</v>
      </c>
      <c r="G385" s="118">
        <v>251</v>
      </c>
      <c r="H385" s="304">
        <f t="shared" si="41"/>
        <v>272.084</v>
      </c>
      <c r="I385" s="304">
        <f t="shared" si="42"/>
        <v>272</v>
      </c>
      <c r="L385" s="195"/>
    </row>
    <row r="386" spans="1:12" customFormat="1" outlineLevel="3" x14ac:dyDescent="0.2">
      <c r="A386" s="214" t="s">
        <v>3417</v>
      </c>
      <c r="B386" s="70" t="s">
        <v>709</v>
      </c>
      <c r="C386" s="213" t="s">
        <v>487</v>
      </c>
      <c r="D386" s="118">
        <f t="shared" si="39"/>
        <v>565.83333333333326</v>
      </c>
      <c r="E386" s="118">
        <f t="shared" si="43"/>
        <v>113.16666666666669</v>
      </c>
      <c r="F386" s="118">
        <f t="shared" si="40"/>
        <v>679</v>
      </c>
      <c r="G386" s="118">
        <v>626</v>
      </c>
      <c r="H386" s="304">
        <f t="shared" si="41"/>
        <v>678.58400000000006</v>
      </c>
      <c r="I386" s="304">
        <f t="shared" si="42"/>
        <v>679</v>
      </c>
      <c r="L386" s="195"/>
    </row>
    <row r="387" spans="1:12" customFormat="1" outlineLevel="3" x14ac:dyDescent="0.2">
      <c r="A387" s="214" t="s">
        <v>3418</v>
      </c>
      <c r="B387" s="70" t="s">
        <v>710</v>
      </c>
      <c r="C387" s="213" t="s">
        <v>487</v>
      </c>
      <c r="D387" s="118">
        <f t="shared" si="39"/>
        <v>1412.5</v>
      </c>
      <c r="E387" s="118">
        <f t="shared" si="43"/>
        <v>282.5</v>
      </c>
      <c r="F387" s="118">
        <f t="shared" si="40"/>
        <v>1695</v>
      </c>
      <c r="G387" s="118">
        <v>1564</v>
      </c>
      <c r="H387" s="304">
        <f t="shared" si="41"/>
        <v>1695.3760000000002</v>
      </c>
      <c r="I387" s="304">
        <f t="shared" si="42"/>
        <v>1695</v>
      </c>
      <c r="L387" s="195"/>
    </row>
    <row r="388" spans="1:12" customFormat="1" outlineLevel="1" x14ac:dyDescent="0.2">
      <c r="A388" s="25" t="s">
        <v>2366</v>
      </c>
      <c r="B388" s="70" t="s">
        <v>711</v>
      </c>
      <c r="C388" s="107"/>
      <c r="D388" s="118"/>
      <c r="E388" s="118"/>
      <c r="F388" s="118"/>
      <c r="G388" s="118"/>
      <c r="H388" s="304">
        <f t="shared" si="41"/>
        <v>0</v>
      </c>
      <c r="I388" s="304">
        <f t="shared" si="42"/>
        <v>0</v>
      </c>
      <c r="L388" s="195"/>
    </row>
    <row r="389" spans="1:12" customFormat="1" outlineLevel="2" x14ac:dyDescent="0.2">
      <c r="A389" s="214" t="s">
        <v>2435</v>
      </c>
      <c r="B389" s="70" t="s">
        <v>1570</v>
      </c>
      <c r="C389" s="213" t="s">
        <v>487</v>
      </c>
      <c r="D389" s="118">
        <f t="shared" si="39"/>
        <v>622.5</v>
      </c>
      <c r="E389" s="118">
        <f t="shared" si="43"/>
        <v>124.5</v>
      </c>
      <c r="F389" s="118">
        <f t="shared" si="40"/>
        <v>747</v>
      </c>
      <c r="G389" s="118">
        <v>689</v>
      </c>
      <c r="H389" s="304">
        <f t="shared" si="41"/>
        <v>746.87600000000009</v>
      </c>
      <c r="I389" s="304">
        <f t="shared" si="42"/>
        <v>747</v>
      </c>
      <c r="L389" s="195"/>
    </row>
    <row r="390" spans="1:12" customFormat="1" outlineLevel="2" x14ac:dyDescent="0.2">
      <c r="A390" s="214" t="s">
        <v>2436</v>
      </c>
      <c r="B390" s="70" t="s">
        <v>1569</v>
      </c>
      <c r="C390" s="213" t="s">
        <v>487</v>
      </c>
      <c r="D390" s="118">
        <f t="shared" si="39"/>
        <v>846.66666666666663</v>
      </c>
      <c r="E390" s="118">
        <f t="shared" si="43"/>
        <v>169.33333333333337</v>
      </c>
      <c r="F390" s="118">
        <f t="shared" si="40"/>
        <v>1016</v>
      </c>
      <c r="G390" s="118">
        <v>937</v>
      </c>
      <c r="H390" s="304">
        <f t="shared" si="41"/>
        <v>1015.7080000000001</v>
      </c>
      <c r="I390" s="304">
        <f t="shared" si="42"/>
        <v>1016</v>
      </c>
      <c r="L390" s="195"/>
    </row>
    <row r="391" spans="1:12" customFormat="1" outlineLevel="2" x14ac:dyDescent="0.2">
      <c r="A391" s="214" t="s">
        <v>2437</v>
      </c>
      <c r="B391" s="70" t="s">
        <v>1568</v>
      </c>
      <c r="C391" s="213" t="s">
        <v>487</v>
      </c>
      <c r="D391" s="118">
        <f t="shared" si="39"/>
        <v>846.66666666666663</v>
      </c>
      <c r="E391" s="118">
        <f t="shared" si="43"/>
        <v>169.33333333333337</v>
      </c>
      <c r="F391" s="118">
        <f t="shared" si="40"/>
        <v>1016</v>
      </c>
      <c r="G391" s="118">
        <v>937</v>
      </c>
      <c r="H391" s="304">
        <f t="shared" si="41"/>
        <v>1015.7080000000001</v>
      </c>
      <c r="I391" s="304">
        <f t="shared" si="42"/>
        <v>1016</v>
      </c>
      <c r="L391" s="195"/>
    </row>
    <row r="392" spans="1:12" customFormat="1" outlineLevel="2" x14ac:dyDescent="0.2">
      <c r="A392" s="214" t="s">
        <v>3419</v>
      </c>
      <c r="B392" s="70" t="s">
        <v>1567</v>
      </c>
      <c r="C392" s="213" t="s">
        <v>487</v>
      </c>
      <c r="D392" s="118">
        <f t="shared" si="39"/>
        <v>1271.6666666666665</v>
      </c>
      <c r="E392" s="118">
        <f t="shared" si="43"/>
        <v>254.33333333333337</v>
      </c>
      <c r="F392" s="118">
        <f t="shared" si="40"/>
        <v>1526</v>
      </c>
      <c r="G392" s="118">
        <v>1408</v>
      </c>
      <c r="H392" s="304">
        <f t="shared" si="41"/>
        <v>1526.2720000000002</v>
      </c>
      <c r="I392" s="304">
        <f t="shared" si="42"/>
        <v>1526</v>
      </c>
      <c r="L392" s="195"/>
    </row>
    <row r="393" spans="1:12" customFormat="1" outlineLevel="2" x14ac:dyDescent="0.2">
      <c r="A393" s="214" t="s">
        <v>3420</v>
      </c>
      <c r="B393" s="70" t="s">
        <v>1566</v>
      </c>
      <c r="C393" s="213" t="s">
        <v>487</v>
      </c>
      <c r="D393" s="118">
        <f t="shared" si="39"/>
        <v>1552.5</v>
      </c>
      <c r="E393" s="118">
        <f t="shared" si="43"/>
        <v>310.5</v>
      </c>
      <c r="F393" s="118">
        <f t="shared" si="40"/>
        <v>1863</v>
      </c>
      <c r="G393" s="118">
        <v>1719</v>
      </c>
      <c r="H393" s="304">
        <f t="shared" si="41"/>
        <v>1863.3960000000002</v>
      </c>
      <c r="I393" s="304">
        <f t="shared" si="42"/>
        <v>1863</v>
      </c>
      <c r="L393" s="195"/>
    </row>
    <row r="394" spans="1:12" customFormat="1" outlineLevel="2" x14ac:dyDescent="0.2">
      <c r="A394" s="214" t="s">
        <v>3421</v>
      </c>
      <c r="B394" s="70" t="s">
        <v>1565</v>
      </c>
      <c r="C394" s="213" t="s">
        <v>487</v>
      </c>
      <c r="D394" s="118">
        <f t="shared" si="39"/>
        <v>2342.5</v>
      </c>
      <c r="E394" s="118">
        <f t="shared" si="43"/>
        <v>468.5</v>
      </c>
      <c r="F394" s="118">
        <f t="shared" si="40"/>
        <v>2811</v>
      </c>
      <c r="G394" s="118">
        <v>2593</v>
      </c>
      <c r="H394" s="304">
        <f t="shared" si="41"/>
        <v>2810.8120000000004</v>
      </c>
      <c r="I394" s="304">
        <f t="shared" si="42"/>
        <v>2811</v>
      </c>
      <c r="L394" s="195"/>
    </row>
    <row r="395" spans="1:12" customFormat="1" outlineLevel="2" x14ac:dyDescent="0.2">
      <c r="A395" s="214" t="s">
        <v>3422</v>
      </c>
      <c r="B395" s="70" t="s">
        <v>1571</v>
      </c>
      <c r="C395" s="213" t="s">
        <v>487</v>
      </c>
      <c r="D395" s="118">
        <f t="shared" si="39"/>
        <v>3530.833333333333</v>
      </c>
      <c r="E395" s="118">
        <f t="shared" si="43"/>
        <v>706.16666666666674</v>
      </c>
      <c r="F395" s="118">
        <f t="shared" si="40"/>
        <v>4237</v>
      </c>
      <c r="G395" s="118">
        <v>3909</v>
      </c>
      <c r="H395" s="304">
        <f t="shared" si="41"/>
        <v>4237.3560000000007</v>
      </c>
      <c r="I395" s="304">
        <f t="shared" si="42"/>
        <v>4237</v>
      </c>
      <c r="L395" s="195"/>
    </row>
    <row r="396" spans="1:12" customFormat="1" hidden="1" outlineLevel="1" x14ac:dyDescent="0.2">
      <c r="A396" s="25" t="s">
        <v>2373</v>
      </c>
      <c r="B396" s="266" t="s">
        <v>717</v>
      </c>
      <c r="C396" s="267" t="s">
        <v>487</v>
      </c>
      <c r="D396" s="118">
        <f t="shared" si="39"/>
        <v>0</v>
      </c>
      <c r="E396" s="118">
        <f t="shared" si="43"/>
        <v>0</v>
      </c>
      <c r="F396" s="118">
        <f t="shared" si="40"/>
        <v>0</v>
      </c>
      <c r="G396" s="268"/>
      <c r="H396" s="304">
        <f t="shared" si="41"/>
        <v>0</v>
      </c>
      <c r="I396" s="304">
        <f t="shared" si="42"/>
        <v>0</v>
      </c>
      <c r="J396" t="s">
        <v>3173</v>
      </c>
      <c r="L396" s="195"/>
    </row>
    <row r="397" spans="1:12" customFormat="1" hidden="1" outlineLevel="2" x14ac:dyDescent="0.2">
      <c r="A397" s="214" t="s">
        <v>2448</v>
      </c>
      <c r="B397" s="266" t="s">
        <v>718</v>
      </c>
      <c r="C397" s="267" t="s">
        <v>487</v>
      </c>
      <c r="D397" s="118">
        <f t="shared" si="39"/>
        <v>1219.1666666666665</v>
      </c>
      <c r="E397" s="118">
        <f t="shared" si="43"/>
        <v>243.83333333333337</v>
      </c>
      <c r="F397" s="118">
        <f t="shared" si="40"/>
        <v>1463</v>
      </c>
      <c r="G397" s="268">
        <v>1350</v>
      </c>
      <c r="H397" s="304">
        <f t="shared" si="41"/>
        <v>1463.4</v>
      </c>
      <c r="I397" s="304">
        <f t="shared" si="42"/>
        <v>1463</v>
      </c>
      <c r="L397" s="195"/>
    </row>
    <row r="398" spans="1:12" customFormat="1" hidden="1" outlineLevel="2" x14ac:dyDescent="0.2">
      <c r="A398" s="214" t="s">
        <v>2449</v>
      </c>
      <c r="B398" s="266" t="s">
        <v>719</v>
      </c>
      <c r="C398" s="267" t="s">
        <v>487</v>
      </c>
      <c r="D398" s="118">
        <f t="shared" si="39"/>
        <v>796.66666666666663</v>
      </c>
      <c r="E398" s="118">
        <f t="shared" si="43"/>
        <v>159.33333333333337</v>
      </c>
      <c r="F398" s="118">
        <f t="shared" si="40"/>
        <v>956</v>
      </c>
      <c r="G398" s="268">
        <v>882</v>
      </c>
      <c r="H398" s="304">
        <f t="shared" si="41"/>
        <v>956.08800000000008</v>
      </c>
      <c r="I398" s="304">
        <f t="shared" si="42"/>
        <v>956</v>
      </c>
      <c r="L398" s="195"/>
    </row>
    <row r="399" spans="1:12" customFormat="1" hidden="1" outlineLevel="2" x14ac:dyDescent="0.2">
      <c r="A399" s="214" t="s">
        <v>2450</v>
      </c>
      <c r="B399" s="266" t="s">
        <v>720</v>
      </c>
      <c r="C399" s="267" t="s">
        <v>487</v>
      </c>
      <c r="D399" s="118">
        <f t="shared" si="39"/>
        <v>1490</v>
      </c>
      <c r="E399" s="118">
        <f t="shared" si="43"/>
        <v>298</v>
      </c>
      <c r="F399" s="118">
        <f t="shared" si="40"/>
        <v>1788</v>
      </c>
      <c r="G399" s="268">
        <v>1649</v>
      </c>
      <c r="H399" s="304">
        <f t="shared" si="41"/>
        <v>1787.5160000000001</v>
      </c>
      <c r="I399" s="304">
        <f t="shared" si="42"/>
        <v>1788</v>
      </c>
      <c r="L399" s="195"/>
    </row>
    <row r="400" spans="1:12" customFormat="1" hidden="1" outlineLevel="2" x14ac:dyDescent="0.2">
      <c r="A400" s="214" t="s">
        <v>2451</v>
      </c>
      <c r="B400" s="266" t="s">
        <v>721</v>
      </c>
      <c r="C400" s="267" t="s">
        <v>487</v>
      </c>
      <c r="D400" s="118">
        <f t="shared" si="39"/>
        <v>1084.1666666666665</v>
      </c>
      <c r="E400" s="118">
        <f t="shared" si="43"/>
        <v>216.83333333333337</v>
      </c>
      <c r="F400" s="118">
        <f t="shared" si="40"/>
        <v>1301</v>
      </c>
      <c r="G400" s="268">
        <v>1200</v>
      </c>
      <c r="H400" s="304">
        <f t="shared" si="41"/>
        <v>1300.8000000000002</v>
      </c>
      <c r="I400" s="304">
        <f t="shared" si="42"/>
        <v>1301</v>
      </c>
      <c r="L400" s="195"/>
    </row>
    <row r="401" spans="1:12" customFormat="1" hidden="1" outlineLevel="2" x14ac:dyDescent="0.2">
      <c r="A401" s="214" t="s">
        <v>2452</v>
      </c>
      <c r="B401" s="266" t="s">
        <v>722</v>
      </c>
      <c r="C401" s="267" t="s">
        <v>487</v>
      </c>
      <c r="D401" s="118">
        <f t="shared" si="39"/>
        <v>1219.1666666666665</v>
      </c>
      <c r="E401" s="118">
        <f t="shared" si="43"/>
        <v>243.83333333333337</v>
      </c>
      <c r="F401" s="118">
        <f t="shared" si="40"/>
        <v>1463</v>
      </c>
      <c r="G401" s="268">
        <v>1350</v>
      </c>
      <c r="H401" s="304">
        <f t="shared" si="41"/>
        <v>1463.4</v>
      </c>
      <c r="I401" s="304">
        <f t="shared" si="42"/>
        <v>1463</v>
      </c>
      <c r="L401" s="195"/>
    </row>
    <row r="402" spans="1:12" customFormat="1" hidden="1" outlineLevel="2" x14ac:dyDescent="0.2">
      <c r="A402" s="214" t="s">
        <v>2453</v>
      </c>
      <c r="B402" s="266" t="s">
        <v>723</v>
      </c>
      <c r="C402" s="267" t="s">
        <v>487</v>
      </c>
      <c r="D402" s="118">
        <f t="shared" si="39"/>
        <v>1761.6666666666665</v>
      </c>
      <c r="E402" s="118">
        <f t="shared" si="43"/>
        <v>352.33333333333337</v>
      </c>
      <c r="F402" s="118">
        <f t="shared" si="40"/>
        <v>2114</v>
      </c>
      <c r="G402" s="268">
        <v>1950</v>
      </c>
      <c r="H402" s="304">
        <f t="shared" si="41"/>
        <v>2113.8000000000002</v>
      </c>
      <c r="I402" s="304">
        <f t="shared" si="42"/>
        <v>2114</v>
      </c>
      <c r="L402" s="195"/>
    </row>
    <row r="403" spans="1:12" customFormat="1" hidden="1" outlineLevel="2" x14ac:dyDescent="0.2">
      <c r="A403" s="214" t="s">
        <v>2454</v>
      </c>
      <c r="B403" s="266" t="s">
        <v>724</v>
      </c>
      <c r="C403" s="267" t="s">
        <v>487</v>
      </c>
      <c r="D403" s="118">
        <f t="shared" si="39"/>
        <v>2031.6666666666665</v>
      </c>
      <c r="E403" s="118">
        <f t="shared" si="43"/>
        <v>406.33333333333337</v>
      </c>
      <c r="F403" s="118">
        <f t="shared" si="40"/>
        <v>2438</v>
      </c>
      <c r="G403" s="268">
        <v>2249</v>
      </c>
      <c r="H403" s="304">
        <f t="shared" si="41"/>
        <v>2437.9160000000002</v>
      </c>
      <c r="I403" s="304">
        <f t="shared" si="42"/>
        <v>2438</v>
      </c>
      <c r="L403" s="195"/>
    </row>
    <row r="404" spans="1:12" customFormat="1" outlineLevel="2" x14ac:dyDescent="0.2">
      <c r="A404" s="25" t="s">
        <v>2367</v>
      </c>
      <c r="B404" s="70" t="s">
        <v>717</v>
      </c>
      <c r="C404" s="264"/>
      <c r="D404" s="118"/>
      <c r="E404" s="118"/>
      <c r="F404" s="118"/>
      <c r="G404" s="118"/>
      <c r="H404" s="304">
        <f t="shared" si="41"/>
        <v>0</v>
      </c>
      <c r="I404" s="304">
        <f t="shared" si="42"/>
        <v>0</v>
      </c>
      <c r="L404" s="195"/>
    </row>
    <row r="405" spans="1:12" customFormat="1" outlineLevel="2" x14ac:dyDescent="0.2">
      <c r="A405" s="214" t="s">
        <v>3423</v>
      </c>
      <c r="B405" s="70" t="s">
        <v>718</v>
      </c>
      <c r="C405" s="264" t="s">
        <v>487</v>
      </c>
      <c r="D405" s="118">
        <f t="shared" si="39"/>
        <v>1219.1666666666665</v>
      </c>
      <c r="E405" s="118">
        <f t="shared" si="43"/>
        <v>243.83333333333337</v>
      </c>
      <c r="F405" s="118">
        <f t="shared" si="40"/>
        <v>1463</v>
      </c>
      <c r="G405" s="118">
        <v>1350</v>
      </c>
      <c r="H405" s="304">
        <f t="shared" si="41"/>
        <v>1463.4</v>
      </c>
      <c r="I405" s="304">
        <f t="shared" si="42"/>
        <v>1463</v>
      </c>
      <c r="J405" t="s">
        <v>3227</v>
      </c>
      <c r="L405" s="195"/>
    </row>
    <row r="406" spans="1:12" customFormat="1" outlineLevel="2" x14ac:dyDescent="0.2">
      <c r="A406" s="214" t="s">
        <v>3424</v>
      </c>
      <c r="B406" s="70" t="s">
        <v>719</v>
      </c>
      <c r="C406" s="264" t="s">
        <v>487</v>
      </c>
      <c r="D406" s="118">
        <f t="shared" si="39"/>
        <v>796.66666666666663</v>
      </c>
      <c r="E406" s="118">
        <f t="shared" si="43"/>
        <v>159.33333333333337</v>
      </c>
      <c r="F406" s="118">
        <f t="shared" si="40"/>
        <v>956</v>
      </c>
      <c r="G406" s="118">
        <v>882</v>
      </c>
      <c r="H406" s="304">
        <f t="shared" si="41"/>
        <v>956.08800000000008</v>
      </c>
      <c r="I406" s="304">
        <f t="shared" si="42"/>
        <v>956</v>
      </c>
      <c r="L406" s="195"/>
    </row>
    <row r="407" spans="1:12" customFormat="1" outlineLevel="2" x14ac:dyDescent="0.2">
      <c r="A407" s="214" t="s">
        <v>3425</v>
      </c>
      <c r="B407" s="70" t="s">
        <v>720</v>
      </c>
      <c r="C407" s="264"/>
      <c r="D407" s="118"/>
      <c r="E407" s="118"/>
      <c r="F407" s="118"/>
      <c r="G407" s="118"/>
      <c r="H407" s="304">
        <f t="shared" si="41"/>
        <v>0</v>
      </c>
      <c r="I407" s="304">
        <f t="shared" si="42"/>
        <v>0</v>
      </c>
      <c r="L407" s="195"/>
    </row>
    <row r="408" spans="1:12" customFormat="1" outlineLevel="2" x14ac:dyDescent="0.2">
      <c r="A408" s="214" t="s">
        <v>3426</v>
      </c>
      <c r="B408" s="265" t="s">
        <v>3234</v>
      </c>
      <c r="C408" s="264" t="s">
        <v>487</v>
      </c>
      <c r="D408" s="118">
        <f t="shared" si="39"/>
        <v>2700.833333333333</v>
      </c>
      <c r="E408" s="118">
        <f t="shared" si="43"/>
        <v>540.16666666666674</v>
      </c>
      <c r="F408" s="118">
        <f t="shared" si="40"/>
        <v>3241</v>
      </c>
      <c r="G408" s="118">
        <v>2990</v>
      </c>
      <c r="H408" s="304">
        <f t="shared" si="41"/>
        <v>3241.1600000000003</v>
      </c>
      <c r="I408" s="304">
        <f t="shared" si="42"/>
        <v>3241</v>
      </c>
      <c r="L408" s="195"/>
    </row>
    <row r="409" spans="1:12" customFormat="1" outlineLevel="2" x14ac:dyDescent="0.2">
      <c r="A409" s="214" t="s">
        <v>3427</v>
      </c>
      <c r="B409" s="265" t="s">
        <v>3235</v>
      </c>
      <c r="C409" s="264" t="s">
        <v>487</v>
      </c>
      <c r="D409" s="118">
        <f t="shared" si="39"/>
        <v>3180</v>
      </c>
      <c r="E409" s="118">
        <f t="shared" si="43"/>
        <v>636</v>
      </c>
      <c r="F409" s="118">
        <f t="shared" si="40"/>
        <v>3816</v>
      </c>
      <c r="G409" s="118">
        <v>3520</v>
      </c>
      <c r="H409" s="304">
        <f t="shared" si="41"/>
        <v>3815.6800000000003</v>
      </c>
      <c r="I409" s="304">
        <f t="shared" si="42"/>
        <v>3816</v>
      </c>
      <c r="L409" s="195"/>
    </row>
    <row r="410" spans="1:12" customFormat="1" outlineLevel="2" x14ac:dyDescent="0.2">
      <c r="A410" s="214" t="s">
        <v>3428</v>
      </c>
      <c r="B410" s="265" t="s">
        <v>3236</v>
      </c>
      <c r="C410" s="264" t="s">
        <v>487</v>
      </c>
      <c r="D410" s="118">
        <f t="shared" si="39"/>
        <v>3460</v>
      </c>
      <c r="E410" s="118">
        <f t="shared" si="43"/>
        <v>692</v>
      </c>
      <c r="F410" s="118">
        <f t="shared" si="40"/>
        <v>4152</v>
      </c>
      <c r="G410" s="118">
        <v>3830</v>
      </c>
      <c r="H410" s="304">
        <f t="shared" si="41"/>
        <v>4151.72</v>
      </c>
      <c r="I410" s="304">
        <f t="shared" si="42"/>
        <v>4152</v>
      </c>
      <c r="L410" s="195"/>
    </row>
    <row r="411" spans="1:12" customFormat="1" outlineLevel="2" x14ac:dyDescent="0.2">
      <c r="A411" s="214" t="s">
        <v>3429</v>
      </c>
      <c r="B411" s="265" t="s">
        <v>3237</v>
      </c>
      <c r="C411" s="264" t="s">
        <v>487</v>
      </c>
      <c r="D411" s="118">
        <f t="shared" si="39"/>
        <v>3965.833333333333</v>
      </c>
      <c r="E411" s="118">
        <f t="shared" si="43"/>
        <v>793.16666666666674</v>
      </c>
      <c r="F411" s="118">
        <f t="shared" si="40"/>
        <v>4759</v>
      </c>
      <c r="G411" s="118">
        <v>4390</v>
      </c>
      <c r="H411" s="304">
        <f t="shared" si="41"/>
        <v>4758.76</v>
      </c>
      <c r="I411" s="304">
        <f t="shared" si="42"/>
        <v>4759</v>
      </c>
      <c r="L411" s="195"/>
    </row>
    <row r="412" spans="1:12" customFormat="1" outlineLevel="2" x14ac:dyDescent="0.2">
      <c r="A412" s="214" t="s">
        <v>3430</v>
      </c>
      <c r="B412" s="70" t="s">
        <v>721</v>
      </c>
      <c r="C412" s="264" t="s">
        <v>487</v>
      </c>
      <c r="D412" s="118">
        <f t="shared" si="39"/>
        <v>1084.1666666666665</v>
      </c>
      <c r="E412" s="118">
        <f t="shared" si="43"/>
        <v>216.83333333333337</v>
      </c>
      <c r="F412" s="118">
        <f t="shared" si="40"/>
        <v>1301</v>
      </c>
      <c r="G412" s="118">
        <v>1200</v>
      </c>
      <c r="H412" s="304">
        <f t="shared" si="41"/>
        <v>1300.8000000000002</v>
      </c>
      <c r="I412" s="304">
        <f t="shared" si="42"/>
        <v>1301</v>
      </c>
      <c r="L412" s="195"/>
    </row>
    <row r="413" spans="1:12" customFormat="1" outlineLevel="2" x14ac:dyDescent="0.2">
      <c r="A413" s="214" t="s">
        <v>3431</v>
      </c>
      <c r="B413" s="70" t="s">
        <v>722</v>
      </c>
      <c r="C413" s="264" t="s">
        <v>487</v>
      </c>
      <c r="D413" s="118">
        <f t="shared" si="39"/>
        <v>1219.1666666666665</v>
      </c>
      <c r="E413" s="118">
        <f t="shared" si="43"/>
        <v>243.83333333333337</v>
      </c>
      <c r="F413" s="118">
        <f t="shared" si="40"/>
        <v>1463</v>
      </c>
      <c r="G413" s="118">
        <v>1350</v>
      </c>
      <c r="H413" s="304">
        <f t="shared" si="41"/>
        <v>1463.4</v>
      </c>
      <c r="I413" s="304">
        <f t="shared" si="42"/>
        <v>1463</v>
      </c>
      <c r="L413" s="195"/>
    </row>
    <row r="414" spans="1:12" customFormat="1" outlineLevel="2" x14ac:dyDescent="0.2">
      <c r="A414" s="214" t="s">
        <v>3432</v>
      </c>
      <c r="B414" s="70" t="s">
        <v>723</v>
      </c>
      <c r="C414" s="264" t="s">
        <v>487</v>
      </c>
      <c r="D414" s="118">
        <f t="shared" si="39"/>
        <v>1761.6666666666665</v>
      </c>
      <c r="E414" s="118">
        <f t="shared" si="43"/>
        <v>352.33333333333337</v>
      </c>
      <c r="F414" s="118">
        <f t="shared" si="40"/>
        <v>2114</v>
      </c>
      <c r="G414" s="118">
        <v>1950</v>
      </c>
      <c r="H414" s="304">
        <f t="shared" si="41"/>
        <v>2113.8000000000002</v>
      </c>
      <c r="I414" s="304">
        <f t="shared" si="42"/>
        <v>2114</v>
      </c>
      <c r="L414" s="195"/>
    </row>
    <row r="415" spans="1:12" customFormat="1" outlineLevel="2" x14ac:dyDescent="0.2">
      <c r="A415" s="214" t="s">
        <v>3433</v>
      </c>
      <c r="B415" s="70" t="s">
        <v>724</v>
      </c>
      <c r="C415" s="264" t="s">
        <v>487</v>
      </c>
      <c r="D415" s="118">
        <f t="shared" si="39"/>
        <v>2031.6666666666665</v>
      </c>
      <c r="E415" s="118">
        <f t="shared" si="43"/>
        <v>406.33333333333337</v>
      </c>
      <c r="F415" s="118">
        <f t="shared" si="40"/>
        <v>2438</v>
      </c>
      <c r="G415" s="118">
        <v>2249</v>
      </c>
      <c r="H415" s="304">
        <f t="shared" si="41"/>
        <v>2437.9160000000002</v>
      </c>
      <c r="I415" s="304">
        <f t="shared" si="42"/>
        <v>2438</v>
      </c>
      <c r="L415" s="195"/>
    </row>
    <row r="416" spans="1:12" customFormat="1" outlineLevel="1" x14ac:dyDescent="0.2">
      <c r="A416" s="25" t="s">
        <v>2368</v>
      </c>
      <c r="B416" s="70" t="s">
        <v>725</v>
      </c>
      <c r="C416" s="213"/>
      <c r="D416" s="118"/>
      <c r="E416" s="118"/>
      <c r="F416" s="118"/>
      <c r="G416" s="118"/>
      <c r="H416" s="304">
        <f t="shared" si="41"/>
        <v>0</v>
      </c>
      <c r="I416" s="304">
        <f t="shared" si="42"/>
        <v>0</v>
      </c>
      <c r="L416" s="195"/>
    </row>
    <row r="417" spans="1:12" customFormat="1" outlineLevel="2" x14ac:dyDescent="0.2">
      <c r="A417" s="214" t="s">
        <v>2438</v>
      </c>
      <c r="B417" s="70" t="s">
        <v>627</v>
      </c>
      <c r="C417" s="213" t="s">
        <v>487</v>
      </c>
      <c r="D417" s="118">
        <f t="shared" si="39"/>
        <v>1219.1666666666665</v>
      </c>
      <c r="E417" s="118">
        <f t="shared" si="43"/>
        <v>243.83333333333337</v>
      </c>
      <c r="F417" s="118">
        <f t="shared" si="40"/>
        <v>1463</v>
      </c>
      <c r="G417" s="118">
        <v>1350</v>
      </c>
      <c r="H417" s="304">
        <f t="shared" si="41"/>
        <v>1463.4</v>
      </c>
      <c r="I417" s="304">
        <f t="shared" si="42"/>
        <v>1463</v>
      </c>
      <c r="L417" s="195"/>
    </row>
    <row r="418" spans="1:12" customFormat="1" outlineLevel="2" x14ac:dyDescent="0.2">
      <c r="A418" s="214" t="s">
        <v>2439</v>
      </c>
      <c r="B418" s="70" t="s">
        <v>726</v>
      </c>
      <c r="C418" s="213" t="s">
        <v>487</v>
      </c>
      <c r="D418" s="118">
        <f t="shared" si="39"/>
        <v>1896.6666666666665</v>
      </c>
      <c r="E418" s="118">
        <f t="shared" si="43"/>
        <v>379.33333333333337</v>
      </c>
      <c r="F418" s="118">
        <f t="shared" si="40"/>
        <v>2276</v>
      </c>
      <c r="G418" s="118">
        <v>2100</v>
      </c>
      <c r="H418" s="304">
        <f t="shared" si="41"/>
        <v>2276.4</v>
      </c>
      <c r="I418" s="304">
        <f t="shared" si="42"/>
        <v>2276</v>
      </c>
      <c r="L418" s="195"/>
    </row>
    <row r="419" spans="1:12" customFormat="1" outlineLevel="2" x14ac:dyDescent="0.2">
      <c r="A419" s="214" t="s">
        <v>2440</v>
      </c>
      <c r="B419" s="70" t="s">
        <v>727</v>
      </c>
      <c r="C419" s="213" t="s">
        <v>487</v>
      </c>
      <c r="D419" s="118">
        <f t="shared" si="39"/>
        <v>2167.5</v>
      </c>
      <c r="E419" s="118">
        <f t="shared" si="43"/>
        <v>433.5</v>
      </c>
      <c r="F419" s="118">
        <f t="shared" si="40"/>
        <v>2601</v>
      </c>
      <c r="G419" s="118">
        <v>2399</v>
      </c>
      <c r="H419" s="304">
        <f t="shared" si="41"/>
        <v>2600.5160000000001</v>
      </c>
      <c r="I419" s="304">
        <f t="shared" si="42"/>
        <v>2601</v>
      </c>
      <c r="L419" s="195"/>
    </row>
    <row r="420" spans="1:12" customFormat="1" outlineLevel="2" x14ac:dyDescent="0.2">
      <c r="A420" s="214" t="s">
        <v>3434</v>
      </c>
      <c r="B420" s="70" t="s">
        <v>728</v>
      </c>
      <c r="C420" s="213" t="s">
        <v>487</v>
      </c>
      <c r="D420" s="118">
        <f t="shared" si="39"/>
        <v>2980.833333333333</v>
      </c>
      <c r="E420" s="118">
        <f t="shared" si="43"/>
        <v>596.16666666666674</v>
      </c>
      <c r="F420" s="118">
        <f t="shared" si="40"/>
        <v>3577</v>
      </c>
      <c r="G420" s="118">
        <v>3300</v>
      </c>
      <c r="H420" s="304">
        <f t="shared" si="41"/>
        <v>3577.2000000000003</v>
      </c>
      <c r="I420" s="304">
        <f t="shared" si="42"/>
        <v>3577</v>
      </c>
      <c r="L420" s="195"/>
    </row>
    <row r="421" spans="1:12" customFormat="1" outlineLevel="2" x14ac:dyDescent="0.2">
      <c r="A421" s="214" t="s">
        <v>3435</v>
      </c>
      <c r="B421" s="70" t="s">
        <v>729</v>
      </c>
      <c r="C421" s="213" t="s">
        <v>487</v>
      </c>
      <c r="D421" s="118">
        <f t="shared" si="39"/>
        <v>3522.5</v>
      </c>
      <c r="E421" s="118">
        <f t="shared" si="43"/>
        <v>704.5</v>
      </c>
      <c r="F421" s="118">
        <f t="shared" si="40"/>
        <v>4227</v>
      </c>
      <c r="G421" s="118">
        <v>3899</v>
      </c>
      <c r="H421" s="304">
        <f t="shared" si="41"/>
        <v>4226.5160000000005</v>
      </c>
      <c r="I421" s="304">
        <f t="shared" si="42"/>
        <v>4227</v>
      </c>
      <c r="L421" s="195"/>
    </row>
    <row r="422" spans="1:12" customFormat="1" outlineLevel="1" x14ac:dyDescent="0.2">
      <c r="A422" s="25" t="s">
        <v>2369</v>
      </c>
      <c r="B422" s="70" t="s">
        <v>730</v>
      </c>
      <c r="C422" s="213" t="s">
        <v>487</v>
      </c>
      <c r="D422" s="118">
        <f t="shared" si="39"/>
        <v>1219.1666666666665</v>
      </c>
      <c r="E422" s="118">
        <f t="shared" si="43"/>
        <v>243.83333333333337</v>
      </c>
      <c r="F422" s="118">
        <f t="shared" si="40"/>
        <v>1463</v>
      </c>
      <c r="G422" s="118">
        <v>1350</v>
      </c>
      <c r="H422" s="304">
        <f t="shared" si="41"/>
        <v>1463.4</v>
      </c>
      <c r="I422" s="304">
        <f t="shared" si="42"/>
        <v>1463</v>
      </c>
      <c r="L422" s="195"/>
    </row>
    <row r="423" spans="1:12" customFormat="1" outlineLevel="1" x14ac:dyDescent="0.2">
      <c r="A423" s="25" t="s">
        <v>2370</v>
      </c>
      <c r="B423" s="70" t="s">
        <v>3750</v>
      </c>
      <c r="C423" s="107"/>
      <c r="D423" s="118"/>
      <c r="E423" s="118"/>
      <c r="F423" s="118"/>
      <c r="G423" s="118"/>
      <c r="H423" s="304">
        <f t="shared" si="41"/>
        <v>0</v>
      </c>
      <c r="I423" s="304">
        <f t="shared" si="42"/>
        <v>0</v>
      </c>
      <c r="L423" s="195"/>
    </row>
    <row r="424" spans="1:12" customFormat="1" outlineLevel="2" x14ac:dyDescent="0.2">
      <c r="A424" s="214" t="s">
        <v>3436</v>
      </c>
      <c r="B424" s="70" t="s">
        <v>627</v>
      </c>
      <c r="C424" s="213" t="s">
        <v>487</v>
      </c>
      <c r="D424" s="118">
        <f t="shared" si="39"/>
        <v>1447.5</v>
      </c>
      <c r="E424" s="118">
        <f t="shared" si="43"/>
        <v>289.5</v>
      </c>
      <c r="F424" s="118">
        <f t="shared" si="40"/>
        <v>1737</v>
      </c>
      <c r="G424" s="118">
        <v>1602</v>
      </c>
      <c r="H424" s="304">
        <f t="shared" si="41"/>
        <v>1736.5680000000002</v>
      </c>
      <c r="I424" s="304">
        <f t="shared" si="42"/>
        <v>1737</v>
      </c>
      <c r="L424" s="195"/>
    </row>
    <row r="425" spans="1:12" customFormat="1" outlineLevel="2" x14ac:dyDescent="0.2">
      <c r="A425" s="214" t="s">
        <v>3437</v>
      </c>
      <c r="B425" s="70" t="s">
        <v>732</v>
      </c>
      <c r="C425" s="213" t="s">
        <v>487</v>
      </c>
      <c r="D425" s="118">
        <f t="shared" si="39"/>
        <v>2438.333333333333</v>
      </c>
      <c r="E425" s="118">
        <f t="shared" si="43"/>
        <v>487.66666666666674</v>
      </c>
      <c r="F425" s="118">
        <f t="shared" si="40"/>
        <v>2926</v>
      </c>
      <c r="G425" s="118">
        <v>2699</v>
      </c>
      <c r="H425" s="304">
        <f t="shared" si="41"/>
        <v>2925.7160000000003</v>
      </c>
      <c r="I425" s="304">
        <f t="shared" si="42"/>
        <v>2926</v>
      </c>
      <c r="L425" s="195"/>
    </row>
    <row r="426" spans="1:12" customFormat="1" outlineLevel="2" x14ac:dyDescent="0.2">
      <c r="A426" s="214" t="s">
        <v>3438</v>
      </c>
      <c r="B426" s="70" t="s">
        <v>733</v>
      </c>
      <c r="C426" s="213" t="s">
        <v>487</v>
      </c>
      <c r="D426" s="118">
        <f t="shared" si="39"/>
        <v>2628.333333333333</v>
      </c>
      <c r="E426" s="118">
        <f t="shared" si="43"/>
        <v>525.66666666666674</v>
      </c>
      <c r="F426" s="118">
        <f t="shared" si="40"/>
        <v>3154</v>
      </c>
      <c r="G426" s="118">
        <v>2910</v>
      </c>
      <c r="H426" s="304">
        <f t="shared" si="41"/>
        <v>3154.44</v>
      </c>
      <c r="I426" s="304">
        <f t="shared" si="42"/>
        <v>3154</v>
      </c>
      <c r="L426" s="195"/>
    </row>
    <row r="427" spans="1:12" customFormat="1" outlineLevel="2" x14ac:dyDescent="0.2">
      <c r="A427" s="214" t="s">
        <v>3439</v>
      </c>
      <c r="B427" s="70" t="s">
        <v>734</v>
      </c>
      <c r="C427" s="213" t="s">
        <v>487</v>
      </c>
      <c r="D427" s="118">
        <f t="shared" si="39"/>
        <v>2980.833333333333</v>
      </c>
      <c r="E427" s="118">
        <f t="shared" si="43"/>
        <v>596.16666666666674</v>
      </c>
      <c r="F427" s="118">
        <f t="shared" si="40"/>
        <v>3577</v>
      </c>
      <c r="G427" s="118">
        <v>3300</v>
      </c>
      <c r="H427" s="304">
        <f t="shared" si="41"/>
        <v>3577.2000000000003</v>
      </c>
      <c r="I427" s="304">
        <f t="shared" si="42"/>
        <v>3577</v>
      </c>
      <c r="L427" s="195"/>
    </row>
    <row r="428" spans="1:12" customFormat="1" outlineLevel="2" x14ac:dyDescent="0.2">
      <c r="A428" s="214" t="s">
        <v>3440</v>
      </c>
      <c r="B428" s="70" t="s">
        <v>735</v>
      </c>
      <c r="C428" s="213" t="s">
        <v>487</v>
      </c>
      <c r="D428" s="118">
        <f t="shared" si="39"/>
        <v>3522.5</v>
      </c>
      <c r="E428" s="118">
        <f t="shared" si="43"/>
        <v>704.5</v>
      </c>
      <c r="F428" s="118">
        <f t="shared" si="40"/>
        <v>4227</v>
      </c>
      <c r="G428" s="118">
        <v>3899</v>
      </c>
      <c r="H428" s="304">
        <f t="shared" si="41"/>
        <v>4226.5160000000005</v>
      </c>
      <c r="I428" s="304">
        <f t="shared" si="42"/>
        <v>4227</v>
      </c>
      <c r="L428" s="195"/>
    </row>
    <row r="429" spans="1:12" customFormat="1" outlineLevel="1" x14ac:dyDescent="0.2">
      <c r="A429" s="25" t="s">
        <v>2371</v>
      </c>
      <c r="B429" s="70" t="s">
        <v>736</v>
      </c>
      <c r="C429" s="213"/>
      <c r="D429" s="118"/>
      <c r="E429" s="118"/>
      <c r="F429" s="118"/>
      <c r="G429" s="118"/>
      <c r="H429" s="304">
        <f t="shared" si="41"/>
        <v>0</v>
      </c>
      <c r="I429" s="304">
        <f t="shared" si="42"/>
        <v>0</v>
      </c>
      <c r="L429" s="195"/>
    </row>
    <row r="430" spans="1:12" customFormat="1" outlineLevel="2" x14ac:dyDescent="0.2">
      <c r="A430" s="214" t="s">
        <v>2444</v>
      </c>
      <c r="B430" s="70" t="s">
        <v>627</v>
      </c>
      <c r="C430" s="213" t="s">
        <v>487</v>
      </c>
      <c r="D430" s="118">
        <f t="shared" ref="D430:D510" si="45">F430-E430</f>
        <v>846.66666666666663</v>
      </c>
      <c r="E430" s="118">
        <f t="shared" si="43"/>
        <v>169.33333333333337</v>
      </c>
      <c r="F430" s="118">
        <f t="shared" ref="F430:F510" si="46">I430</f>
        <v>1016</v>
      </c>
      <c r="G430" s="118">
        <v>937</v>
      </c>
      <c r="H430" s="304">
        <f t="shared" ref="H430:H510" si="47">G430*$H$8</f>
        <v>1015.7080000000001</v>
      </c>
      <c r="I430" s="304">
        <f t="shared" ref="I430:I510" si="48">ROUND(H430,0)</f>
        <v>1016</v>
      </c>
      <c r="L430" s="195"/>
    </row>
    <row r="431" spans="1:12" customFormat="1" outlineLevel="2" x14ac:dyDescent="0.2">
      <c r="A431" s="214" t="s">
        <v>2445</v>
      </c>
      <c r="B431" s="70" t="s">
        <v>675</v>
      </c>
      <c r="C431" s="213" t="s">
        <v>487</v>
      </c>
      <c r="D431" s="118">
        <f t="shared" si="45"/>
        <v>1271.6666666666665</v>
      </c>
      <c r="E431" s="118">
        <f t="shared" ref="E431:E511" si="49">F431/1.2*0.2</f>
        <v>254.33333333333337</v>
      </c>
      <c r="F431" s="118">
        <f t="shared" si="46"/>
        <v>1526</v>
      </c>
      <c r="G431" s="118">
        <v>1408</v>
      </c>
      <c r="H431" s="304">
        <f t="shared" si="47"/>
        <v>1526.2720000000002</v>
      </c>
      <c r="I431" s="304">
        <f t="shared" si="48"/>
        <v>1526</v>
      </c>
      <c r="L431" s="195"/>
    </row>
    <row r="432" spans="1:12" customFormat="1" outlineLevel="1" x14ac:dyDescent="0.2">
      <c r="A432" s="25" t="s">
        <v>2372</v>
      </c>
      <c r="B432" s="70" t="s">
        <v>737</v>
      </c>
      <c r="C432" s="213"/>
      <c r="D432" s="118"/>
      <c r="E432" s="118"/>
      <c r="F432" s="118"/>
      <c r="G432" s="118"/>
      <c r="H432" s="304">
        <f t="shared" si="47"/>
        <v>0</v>
      </c>
      <c r="I432" s="304">
        <f t="shared" si="48"/>
        <v>0</v>
      </c>
      <c r="L432" s="195"/>
    </row>
    <row r="433" spans="1:12" customFormat="1" outlineLevel="2" x14ac:dyDescent="0.2">
      <c r="A433" s="214" t="s">
        <v>2446</v>
      </c>
      <c r="B433" s="70" t="s">
        <v>627</v>
      </c>
      <c r="C433" s="213" t="s">
        <v>487</v>
      </c>
      <c r="D433" s="118">
        <f t="shared" si="45"/>
        <v>846.66666666666663</v>
      </c>
      <c r="E433" s="118">
        <f t="shared" si="49"/>
        <v>169.33333333333337</v>
      </c>
      <c r="F433" s="118">
        <f t="shared" si="46"/>
        <v>1016</v>
      </c>
      <c r="G433" s="118">
        <v>937</v>
      </c>
      <c r="H433" s="304">
        <f t="shared" si="47"/>
        <v>1015.7080000000001</v>
      </c>
      <c r="I433" s="304">
        <f t="shared" si="48"/>
        <v>1016</v>
      </c>
      <c r="L433" s="195"/>
    </row>
    <row r="434" spans="1:12" customFormat="1" outlineLevel="2" x14ac:dyDescent="0.2">
      <c r="A434" s="214" t="s">
        <v>2447</v>
      </c>
      <c r="B434" s="70" t="s">
        <v>675</v>
      </c>
      <c r="C434" s="213" t="s">
        <v>487</v>
      </c>
      <c r="D434" s="118">
        <f t="shared" si="45"/>
        <v>1271.6666666666665</v>
      </c>
      <c r="E434" s="118">
        <f t="shared" si="49"/>
        <v>254.33333333333337</v>
      </c>
      <c r="F434" s="118">
        <f t="shared" si="46"/>
        <v>1526</v>
      </c>
      <c r="G434" s="118">
        <v>1408</v>
      </c>
      <c r="H434" s="304">
        <f t="shared" si="47"/>
        <v>1526.2720000000002</v>
      </c>
      <c r="I434" s="304">
        <f t="shared" si="48"/>
        <v>1526</v>
      </c>
      <c r="L434" s="195"/>
    </row>
    <row r="435" spans="1:12" customFormat="1" outlineLevel="1" x14ac:dyDescent="0.2">
      <c r="A435" s="25" t="s">
        <v>2373</v>
      </c>
      <c r="B435" s="70" t="s">
        <v>738</v>
      </c>
      <c r="C435" s="213"/>
      <c r="D435" s="118"/>
      <c r="E435" s="118"/>
      <c r="F435" s="118"/>
      <c r="G435" s="118">
        <v>1373</v>
      </c>
      <c r="H435" s="304">
        <f t="shared" si="47"/>
        <v>1488.3320000000001</v>
      </c>
      <c r="I435" s="304">
        <f t="shared" si="48"/>
        <v>1488</v>
      </c>
      <c r="L435" s="195"/>
    </row>
    <row r="436" spans="1:12" customFormat="1" outlineLevel="2" x14ac:dyDescent="0.2">
      <c r="A436" s="214" t="s">
        <v>2448</v>
      </c>
      <c r="B436" s="70" t="s">
        <v>739</v>
      </c>
      <c r="C436" s="213" t="s">
        <v>487</v>
      </c>
      <c r="D436" s="118">
        <f t="shared" si="45"/>
        <v>1412.5</v>
      </c>
      <c r="E436" s="118">
        <f t="shared" si="49"/>
        <v>282.5</v>
      </c>
      <c r="F436" s="118">
        <f t="shared" si="46"/>
        <v>1695</v>
      </c>
      <c r="G436" s="118">
        <v>1564</v>
      </c>
      <c r="H436" s="304">
        <f t="shared" si="47"/>
        <v>1695.3760000000002</v>
      </c>
      <c r="I436" s="304">
        <f t="shared" si="48"/>
        <v>1695</v>
      </c>
      <c r="L436" s="195"/>
    </row>
    <row r="437" spans="1:12" customFormat="1" outlineLevel="2" x14ac:dyDescent="0.2">
      <c r="A437" s="214" t="s">
        <v>2449</v>
      </c>
      <c r="B437" s="70" t="s">
        <v>740</v>
      </c>
      <c r="C437" s="213" t="s">
        <v>487</v>
      </c>
      <c r="D437" s="118">
        <f t="shared" si="45"/>
        <v>1552.5</v>
      </c>
      <c r="E437" s="118">
        <f t="shared" si="49"/>
        <v>310.5</v>
      </c>
      <c r="F437" s="118">
        <f t="shared" si="46"/>
        <v>1863</v>
      </c>
      <c r="G437" s="118">
        <v>1719</v>
      </c>
      <c r="H437" s="304">
        <f t="shared" si="47"/>
        <v>1863.3960000000002</v>
      </c>
      <c r="I437" s="304">
        <f t="shared" si="48"/>
        <v>1863</v>
      </c>
      <c r="L437" s="195"/>
    </row>
    <row r="438" spans="1:12" customFormat="1" outlineLevel="1" x14ac:dyDescent="0.2">
      <c r="A438" s="25" t="s">
        <v>2374</v>
      </c>
      <c r="B438" s="70" t="s">
        <v>3117</v>
      </c>
      <c r="C438" s="213"/>
      <c r="D438" s="118"/>
      <c r="E438" s="118"/>
      <c r="F438" s="118"/>
      <c r="G438" s="118"/>
      <c r="H438" s="304">
        <f t="shared" si="47"/>
        <v>0</v>
      </c>
      <c r="I438" s="304">
        <f t="shared" si="48"/>
        <v>0</v>
      </c>
      <c r="L438" s="195"/>
    </row>
    <row r="439" spans="1:12" customFormat="1" outlineLevel="2" x14ac:dyDescent="0.2">
      <c r="A439" s="214" t="s">
        <v>2455</v>
      </c>
      <c r="B439" s="70" t="s">
        <v>627</v>
      </c>
      <c r="C439" s="213" t="s">
        <v>487</v>
      </c>
      <c r="D439" s="118">
        <f t="shared" si="45"/>
        <v>989.16666666666663</v>
      </c>
      <c r="E439" s="118">
        <f t="shared" si="49"/>
        <v>197.83333333333337</v>
      </c>
      <c r="F439" s="118">
        <f t="shared" si="46"/>
        <v>1187</v>
      </c>
      <c r="G439" s="118">
        <v>1095</v>
      </c>
      <c r="H439" s="304">
        <f t="shared" si="47"/>
        <v>1186.98</v>
      </c>
      <c r="I439" s="304">
        <f t="shared" si="48"/>
        <v>1187</v>
      </c>
      <c r="L439" s="195"/>
    </row>
    <row r="440" spans="1:12" customFormat="1" outlineLevel="2" x14ac:dyDescent="0.2">
      <c r="A440" s="214" t="s">
        <v>2456</v>
      </c>
      <c r="B440" s="70" t="s">
        <v>675</v>
      </c>
      <c r="C440" s="213" t="s">
        <v>487</v>
      </c>
      <c r="D440" s="118">
        <f t="shared" si="45"/>
        <v>1412.5</v>
      </c>
      <c r="E440" s="118">
        <f t="shared" si="49"/>
        <v>282.5</v>
      </c>
      <c r="F440" s="118">
        <f t="shared" si="46"/>
        <v>1695</v>
      </c>
      <c r="G440" s="118">
        <v>1564</v>
      </c>
      <c r="H440" s="304">
        <f t="shared" si="47"/>
        <v>1695.3760000000002</v>
      </c>
      <c r="I440" s="304">
        <f t="shared" si="48"/>
        <v>1695</v>
      </c>
      <c r="L440" s="195"/>
    </row>
    <row r="441" spans="1:12" customFormat="1" outlineLevel="1" x14ac:dyDescent="0.2">
      <c r="A441" s="25" t="s">
        <v>2375</v>
      </c>
      <c r="B441" s="70" t="s">
        <v>742</v>
      </c>
      <c r="C441" s="213"/>
      <c r="D441" s="118"/>
      <c r="E441" s="118"/>
      <c r="F441" s="118"/>
      <c r="G441" s="118"/>
      <c r="H441" s="304">
        <f t="shared" si="47"/>
        <v>0</v>
      </c>
      <c r="I441" s="304">
        <f t="shared" si="48"/>
        <v>0</v>
      </c>
      <c r="L441" s="195"/>
    </row>
    <row r="442" spans="1:12" customFormat="1" outlineLevel="2" x14ac:dyDescent="0.2">
      <c r="A442" s="214" t="s">
        <v>3441</v>
      </c>
      <c r="B442" s="70" t="s">
        <v>743</v>
      </c>
      <c r="C442" s="213" t="s">
        <v>487</v>
      </c>
      <c r="D442" s="118">
        <f t="shared" si="45"/>
        <v>706.66666666666663</v>
      </c>
      <c r="E442" s="118">
        <f t="shared" si="49"/>
        <v>141.33333333333334</v>
      </c>
      <c r="F442" s="118">
        <f t="shared" si="46"/>
        <v>848</v>
      </c>
      <c r="G442" s="118">
        <v>782</v>
      </c>
      <c r="H442" s="304">
        <f t="shared" si="47"/>
        <v>847.6880000000001</v>
      </c>
      <c r="I442" s="304">
        <f t="shared" si="48"/>
        <v>848</v>
      </c>
      <c r="L442" s="195"/>
    </row>
    <row r="443" spans="1:12" customFormat="1" outlineLevel="2" x14ac:dyDescent="0.2">
      <c r="A443" s="214" t="s">
        <v>3442</v>
      </c>
      <c r="B443" s="70" t="s">
        <v>744</v>
      </c>
      <c r="C443" s="213" t="s">
        <v>487</v>
      </c>
      <c r="D443" s="118">
        <f t="shared" si="45"/>
        <v>1271.6666666666665</v>
      </c>
      <c r="E443" s="118">
        <f t="shared" si="49"/>
        <v>254.33333333333337</v>
      </c>
      <c r="F443" s="118">
        <f t="shared" si="46"/>
        <v>1526</v>
      </c>
      <c r="G443" s="118">
        <v>1408</v>
      </c>
      <c r="H443" s="304">
        <f t="shared" si="47"/>
        <v>1526.2720000000002</v>
      </c>
      <c r="I443" s="304">
        <f t="shared" si="48"/>
        <v>1526</v>
      </c>
      <c r="L443" s="195"/>
    </row>
    <row r="444" spans="1:12" customFormat="1" outlineLevel="1" x14ac:dyDescent="0.2">
      <c r="A444" s="25" t="s">
        <v>2376</v>
      </c>
      <c r="B444" s="70" t="s">
        <v>745</v>
      </c>
      <c r="C444" s="107" t="s">
        <v>487</v>
      </c>
      <c r="D444" s="118">
        <f t="shared" si="45"/>
        <v>282.5</v>
      </c>
      <c r="E444" s="118">
        <f t="shared" si="49"/>
        <v>56.5</v>
      </c>
      <c r="F444" s="118">
        <f t="shared" si="46"/>
        <v>339</v>
      </c>
      <c r="G444" s="118">
        <v>313</v>
      </c>
      <c r="H444" s="304">
        <f t="shared" si="47"/>
        <v>339.29200000000003</v>
      </c>
      <c r="I444" s="304">
        <f t="shared" si="48"/>
        <v>339</v>
      </c>
      <c r="L444" s="195"/>
    </row>
    <row r="445" spans="1:12" customFormat="1" outlineLevel="1" x14ac:dyDescent="0.2">
      <c r="A445" s="25" t="s">
        <v>2377</v>
      </c>
      <c r="B445" s="70" t="s">
        <v>746</v>
      </c>
      <c r="C445" s="107"/>
      <c r="D445" s="118"/>
      <c r="E445" s="118"/>
      <c r="F445" s="118"/>
      <c r="G445" s="118"/>
      <c r="H445" s="304">
        <f t="shared" si="47"/>
        <v>0</v>
      </c>
      <c r="I445" s="304">
        <f t="shared" si="48"/>
        <v>0</v>
      </c>
      <c r="L445" s="195"/>
    </row>
    <row r="446" spans="1:12" customFormat="1" outlineLevel="2" x14ac:dyDescent="0.2">
      <c r="A446" s="214" t="s">
        <v>2457</v>
      </c>
      <c r="B446" s="70" t="s">
        <v>980</v>
      </c>
      <c r="C446" s="213" t="s">
        <v>487</v>
      </c>
      <c r="D446" s="118">
        <f t="shared" si="45"/>
        <v>989.16666666666663</v>
      </c>
      <c r="E446" s="118">
        <f t="shared" si="49"/>
        <v>197.83333333333337</v>
      </c>
      <c r="F446" s="118">
        <f t="shared" si="46"/>
        <v>1187</v>
      </c>
      <c r="G446" s="118">
        <v>1095</v>
      </c>
      <c r="H446" s="304">
        <f t="shared" si="47"/>
        <v>1186.98</v>
      </c>
      <c r="I446" s="304">
        <f t="shared" si="48"/>
        <v>1187</v>
      </c>
      <c r="L446" s="195"/>
    </row>
    <row r="447" spans="1:12" customFormat="1" outlineLevel="2" x14ac:dyDescent="0.2">
      <c r="A447" s="214" t="s">
        <v>2458</v>
      </c>
      <c r="B447" s="70" t="s">
        <v>3116</v>
      </c>
      <c r="C447" s="213" t="s">
        <v>487</v>
      </c>
      <c r="D447" s="118">
        <f t="shared" si="45"/>
        <v>1130</v>
      </c>
      <c r="E447" s="118">
        <f t="shared" si="49"/>
        <v>226</v>
      </c>
      <c r="F447" s="118">
        <f t="shared" si="46"/>
        <v>1356</v>
      </c>
      <c r="G447" s="118">
        <v>1251</v>
      </c>
      <c r="H447" s="304">
        <f t="shared" si="47"/>
        <v>1356.0840000000001</v>
      </c>
      <c r="I447" s="304">
        <f t="shared" si="48"/>
        <v>1356</v>
      </c>
      <c r="L447" s="195"/>
    </row>
    <row r="448" spans="1:12" customFormat="1" outlineLevel="2" x14ac:dyDescent="0.2">
      <c r="A448" s="214" t="s">
        <v>3443</v>
      </c>
      <c r="B448" s="70" t="s">
        <v>982</v>
      </c>
      <c r="C448" s="213" t="s">
        <v>487</v>
      </c>
      <c r="D448" s="118">
        <f t="shared" si="45"/>
        <v>1412.5</v>
      </c>
      <c r="E448" s="118">
        <f t="shared" si="49"/>
        <v>282.5</v>
      </c>
      <c r="F448" s="118">
        <f t="shared" si="46"/>
        <v>1695</v>
      </c>
      <c r="G448" s="118">
        <v>1564</v>
      </c>
      <c r="H448" s="304">
        <f t="shared" si="47"/>
        <v>1695.3760000000002</v>
      </c>
      <c r="I448" s="304">
        <f t="shared" si="48"/>
        <v>1695</v>
      </c>
      <c r="L448" s="195"/>
    </row>
    <row r="449" spans="1:12" customFormat="1" outlineLevel="2" x14ac:dyDescent="0.2">
      <c r="A449" s="214" t="s">
        <v>3444</v>
      </c>
      <c r="B449" s="70" t="s">
        <v>979</v>
      </c>
      <c r="C449" s="213" t="s">
        <v>487</v>
      </c>
      <c r="D449" s="118">
        <f t="shared" si="45"/>
        <v>1695.8333333333333</v>
      </c>
      <c r="E449" s="118">
        <f t="shared" si="49"/>
        <v>339.16666666666674</v>
      </c>
      <c r="F449" s="118">
        <f t="shared" si="46"/>
        <v>2035</v>
      </c>
      <c r="G449" s="118">
        <v>1877</v>
      </c>
      <c r="H449" s="304">
        <f t="shared" si="47"/>
        <v>2034.6680000000001</v>
      </c>
      <c r="I449" s="304">
        <f t="shared" si="48"/>
        <v>2035</v>
      </c>
      <c r="L449" s="195"/>
    </row>
    <row r="450" spans="1:12" customFormat="1" outlineLevel="2" x14ac:dyDescent="0.2">
      <c r="A450" s="214" t="s">
        <v>3445</v>
      </c>
      <c r="B450" s="70" t="s">
        <v>983</v>
      </c>
      <c r="C450" s="213" t="s">
        <v>487</v>
      </c>
      <c r="D450" s="118">
        <f t="shared" si="45"/>
        <v>2120</v>
      </c>
      <c r="E450" s="118">
        <f t="shared" si="49"/>
        <v>424</v>
      </c>
      <c r="F450" s="118">
        <f t="shared" si="46"/>
        <v>2544</v>
      </c>
      <c r="G450" s="118">
        <v>2347</v>
      </c>
      <c r="H450" s="304">
        <f t="shared" si="47"/>
        <v>2544.1480000000001</v>
      </c>
      <c r="I450" s="304">
        <f t="shared" si="48"/>
        <v>2544</v>
      </c>
      <c r="L450" s="195"/>
    </row>
    <row r="451" spans="1:12" customFormat="1" outlineLevel="2" x14ac:dyDescent="0.2">
      <c r="A451" s="25" t="s">
        <v>2378</v>
      </c>
      <c r="B451" s="145" t="s">
        <v>2744</v>
      </c>
      <c r="C451" s="213"/>
      <c r="D451" s="118"/>
      <c r="E451" s="118"/>
      <c r="F451" s="118"/>
      <c r="G451" s="118"/>
      <c r="H451" s="304">
        <f t="shared" ref="H451:H467" si="50">G451*$H$8</f>
        <v>0</v>
      </c>
      <c r="I451" s="304">
        <f t="shared" ref="I451:I467" si="51">ROUND(H451,0)</f>
        <v>0</v>
      </c>
      <c r="L451" s="195"/>
    </row>
    <row r="452" spans="1:12" customFormat="1" outlineLevel="2" x14ac:dyDescent="0.2">
      <c r="A452" s="214" t="s">
        <v>2459</v>
      </c>
      <c r="B452" s="145" t="s">
        <v>627</v>
      </c>
      <c r="C452" s="213" t="s">
        <v>487</v>
      </c>
      <c r="D452" s="118">
        <f t="shared" ref="D452:D467" si="52">F452-E452</f>
        <v>1779.1666666666665</v>
      </c>
      <c r="E452" s="118">
        <f t="shared" ref="E452:E467" si="53">F452/1.2*0.2</f>
        <v>355.83333333333337</v>
      </c>
      <c r="F452" s="118">
        <f t="shared" ref="F452:F467" si="54">I452</f>
        <v>2135</v>
      </c>
      <c r="G452" s="123">
        <v>1970</v>
      </c>
      <c r="H452" s="304">
        <f t="shared" si="50"/>
        <v>2135.48</v>
      </c>
      <c r="I452" s="304">
        <f t="shared" si="51"/>
        <v>2135</v>
      </c>
      <c r="L452" s="195"/>
    </row>
    <row r="453" spans="1:12" customFormat="1" outlineLevel="2" x14ac:dyDescent="0.2">
      <c r="A453" s="214" t="s">
        <v>2460</v>
      </c>
      <c r="B453" s="145" t="s">
        <v>1847</v>
      </c>
      <c r="C453" s="213" t="s">
        <v>487</v>
      </c>
      <c r="D453" s="118">
        <f t="shared" si="52"/>
        <v>2594.1666666666665</v>
      </c>
      <c r="E453" s="118">
        <f t="shared" si="53"/>
        <v>518.83333333333337</v>
      </c>
      <c r="F453" s="118">
        <f t="shared" si="54"/>
        <v>3113</v>
      </c>
      <c r="G453" s="123">
        <v>2872</v>
      </c>
      <c r="H453" s="304">
        <f t="shared" si="50"/>
        <v>3113.248</v>
      </c>
      <c r="I453" s="304">
        <f t="shared" si="51"/>
        <v>3113</v>
      </c>
      <c r="L453" s="195"/>
    </row>
    <row r="454" spans="1:12" customFormat="1" outlineLevel="2" x14ac:dyDescent="0.2">
      <c r="A454" s="214" t="s">
        <v>3446</v>
      </c>
      <c r="B454" s="145" t="s">
        <v>1848</v>
      </c>
      <c r="C454" s="213" t="s">
        <v>487</v>
      </c>
      <c r="D454" s="118">
        <f t="shared" si="52"/>
        <v>2744.1666666666665</v>
      </c>
      <c r="E454" s="118">
        <f t="shared" si="53"/>
        <v>548.83333333333337</v>
      </c>
      <c r="F454" s="118">
        <f t="shared" si="54"/>
        <v>3293</v>
      </c>
      <c r="G454" s="123">
        <v>3038</v>
      </c>
      <c r="H454" s="304">
        <f t="shared" si="50"/>
        <v>3293.192</v>
      </c>
      <c r="I454" s="304">
        <f t="shared" si="51"/>
        <v>3293</v>
      </c>
      <c r="L454" s="195"/>
    </row>
    <row r="455" spans="1:12" customFormat="1" outlineLevel="2" x14ac:dyDescent="0.2">
      <c r="A455" s="214" t="s">
        <v>3447</v>
      </c>
      <c r="B455" s="145" t="s">
        <v>1849</v>
      </c>
      <c r="C455" s="213" t="s">
        <v>487</v>
      </c>
      <c r="D455" s="118">
        <f t="shared" si="52"/>
        <v>2997.5</v>
      </c>
      <c r="E455" s="118">
        <f t="shared" si="53"/>
        <v>599.5</v>
      </c>
      <c r="F455" s="118">
        <f t="shared" si="54"/>
        <v>3597</v>
      </c>
      <c r="G455" s="123">
        <v>3318</v>
      </c>
      <c r="H455" s="304">
        <f t="shared" si="50"/>
        <v>3596.7120000000004</v>
      </c>
      <c r="I455" s="304">
        <f t="shared" si="51"/>
        <v>3597</v>
      </c>
      <c r="L455" s="195"/>
    </row>
    <row r="456" spans="1:12" customFormat="1" outlineLevel="2" x14ac:dyDescent="0.2">
      <c r="A456" s="214" t="s">
        <v>3448</v>
      </c>
      <c r="B456" s="145" t="s">
        <v>1850</v>
      </c>
      <c r="C456" s="213" t="s">
        <v>487</v>
      </c>
      <c r="D456" s="118">
        <f t="shared" si="52"/>
        <v>3615.833333333333</v>
      </c>
      <c r="E456" s="118">
        <f t="shared" si="53"/>
        <v>723.16666666666674</v>
      </c>
      <c r="F456" s="118">
        <f t="shared" si="54"/>
        <v>4339</v>
      </c>
      <c r="G456" s="123">
        <v>4003</v>
      </c>
      <c r="H456" s="304">
        <f t="shared" si="50"/>
        <v>4339.2520000000004</v>
      </c>
      <c r="I456" s="304">
        <f t="shared" si="51"/>
        <v>4339</v>
      </c>
      <c r="L456" s="195"/>
    </row>
    <row r="457" spans="1:12" customFormat="1" outlineLevel="2" x14ac:dyDescent="0.2">
      <c r="A457" s="25" t="s">
        <v>2379</v>
      </c>
      <c r="B457" s="145" t="s">
        <v>1851</v>
      </c>
      <c r="C457" s="213"/>
      <c r="D457" s="118"/>
      <c r="E457" s="118"/>
      <c r="F457" s="118"/>
      <c r="G457" s="123"/>
      <c r="H457" s="304">
        <f t="shared" si="50"/>
        <v>0</v>
      </c>
      <c r="I457" s="304">
        <f t="shared" si="51"/>
        <v>0</v>
      </c>
      <c r="L457" s="195"/>
    </row>
    <row r="458" spans="1:12" customFormat="1" outlineLevel="2" x14ac:dyDescent="0.2">
      <c r="A458" s="214" t="s">
        <v>2461</v>
      </c>
      <c r="B458" s="145" t="s">
        <v>627</v>
      </c>
      <c r="C458" s="213" t="s">
        <v>487</v>
      </c>
      <c r="D458" s="118">
        <f t="shared" si="52"/>
        <v>1451.6666666666665</v>
      </c>
      <c r="E458" s="118">
        <f t="shared" si="53"/>
        <v>290.33333333333337</v>
      </c>
      <c r="F458" s="118">
        <f t="shared" si="54"/>
        <v>1742</v>
      </c>
      <c r="G458" s="123">
        <v>1607</v>
      </c>
      <c r="H458" s="304">
        <f t="shared" si="50"/>
        <v>1741.9880000000001</v>
      </c>
      <c r="I458" s="304">
        <f t="shared" si="51"/>
        <v>1742</v>
      </c>
      <c r="L458" s="195"/>
    </row>
    <row r="459" spans="1:12" customFormat="1" outlineLevel="2" x14ac:dyDescent="0.2">
      <c r="A459" s="214" t="s">
        <v>2462</v>
      </c>
      <c r="B459" s="145" t="s">
        <v>1847</v>
      </c>
      <c r="C459" s="213" t="s">
        <v>487</v>
      </c>
      <c r="D459" s="118">
        <f t="shared" si="52"/>
        <v>2435</v>
      </c>
      <c r="E459" s="118">
        <f t="shared" si="53"/>
        <v>487</v>
      </c>
      <c r="F459" s="118">
        <f t="shared" si="54"/>
        <v>2922</v>
      </c>
      <c r="G459" s="123">
        <v>2696</v>
      </c>
      <c r="H459" s="304">
        <f t="shared" si="50"/>
        <v>2922.4640000000004</v>
      </c>
      <c r="I459" s="304">
        <f t="shared" si="51"/>
        <v>2922</v>
      </c>
      <c r="L459" s="195"/>
    </row>
    <row r="460" spans="1:12" customFormat="1" outlineLevel="2" x14ac:dyDescent="0.2">
      <c r="A460" s="214" t="s">
        <v>3449</v>
      </c>
      <c r="B460" s="145" t="s">
        <v>1848</v>
      </c>
      <c r="C460" s="213" t="s">
        <v>487</v>
      </c>
      <c r="D460" s="118">
        <f t="shared" si="52"/>
        <v>2623.333333333333</v>
      </c>
      <c r="E460" s="118">
        <f t="shared" si="53"/>
        <v>524.66666666666674</v>
      </c>
      <c r="F460" s="118">
        <f t="shared" si="54"/>
        <v>3148</v>
      </c>
      <c r="G460" s="123">
        <v>2904</v>
      </c>
      <c r="H460" s="304">
        <f t="shared" si="50"/>
        <v>3147.9360000000001</v>
      </c>
      <c r="I460" s="304">
        <f t="shared" si="51"/>
        <v>3148</v>
      </c>
      <c r="L460" s="195"/>
    </row>
    <row r="461" spans="1:12" customFormat="1" outlineLevel="2" x14ac:dyDescent="0.2">
      <c r="A461" s="214" t="s">
        <v>3450</v>
      </c>
      <c r="B461" s="145" t="s">
        <v>1849</v>
      </c>
      <c r="C461" s="213" t="s">
        <v>487</v>
      </c>
      <c r="D461" s="118">
        <f t="shared" si="52"/>
        <v>2904.1666666666665</v>
      </c>
      <c r="E461" s="118">
        <f t="shared" si="53"/>
        <v>580.83333333333337</v>
      </c>
      <c r="F461" s="118">
        <f t="shared" si="54"/>
        <v>3485</v>
      </c>
      <c r="G461" s="123">
        <v>3215</v>
      </c>
      <c r="H461" s="304">
        <f t="shared" si="50"/>
        <v>3485.0600000000004</v>
      </c>
      <c r="I461" s="304">
        <f t="shared" si="51"/>
        <v>3485</v>
      </c>
      <c r="L461" s="195"/>
    </row>
    <row r="462" spans="1:12" customFormat="1" outlineLevel="2" x14ac:dyDescent="0.2">
      <c r="A462" s="214" t="s">
        <v>3451</v>
      </c>
      <c r="B462" s="145" t="s">
        <v>1850</v>
      </c>
      <c r="C462" s="213" t="s">
        <v>487</v>
      </c>
      <c r="D462" s="118">
        <f t="shared" si="52"/>
        <v>3494.1666666666665</v>
      </c>
      <c r="E462" s="118">
        <f t="shared" si="53"/>
        <v>698.83333333333348</v>
      </c>
      <c r="F462" s="118">
        <f t="shared" si="54"/>
        <v>4193</v>
      </c>
      <c r="G462" s="123">
        <v>3868</v>
      </c>
      <c r="H462" s="304">
        <f t="shared" si="50"/>
        <v>4192.9120000000003</v>
      </c>
      <c r="I462" s="304">
        <f t="shared" si="51"/>
        <v>4193</v>
      </c>
      <c r="L462" s="195"/>
    </row>
    <row r="463" spans="1:12" customFormat="1" outlineLevel="2" x14ac:dyDescent="0.2">
      <c r="A463" s="25" t="s">
        <v>2380</v>
      </c>
      <c r="B463" s="145" t="s">
        <v>3140</v>
      </c>
      <c r="C463" s="232"/>
      <c r="D463" s="118"/>
      <c r="E463" s="118"/>
      <c r="F463" s="118"/>
      <c r="G463" s="123"/>
      <c r="H463" s="304">
        <f t="shared" si="50"/>
        <v>0</v>
      </c>
      <c r="I463" s="304">
        <f t="shared" si="51"/>
        <v>0</v>
      </c>
      <c r="L463" s="195"/>
    </row>
    <row r="464" spans="1:12" customFormat="1" outlineLevel="2" x14ac:dyDescent="0.2">
      <c r="A464" s="214" t="s">
        <v>2463</v>
      </c>
      <c r="B464" s="145" t="s">
        <v>3141</v>
      </c>
      <c r="C464" s="232" t="s">
        <v>487</v>
      </c>
      <c r="D464" s="118">
        <f t="shared" si="52"/>
        <v>2077.5</v>
      </c>
      <c r="E464" s="118">
        <f t="shared" si="53"/>
        <v>415.5</v>
      </c>
      <c r="F464" s="118">
        <f t="shared" si="54"/>
        <v>2493</v>
      </c>
      <c r="G464" s="123">
        <v>2300</v>
      </c>
      <c r="H464" s="304">
        <f t="shared" si="50"/>
        <v>2493.2000000000003</v>
      </c>
      <c r="I464" s="304">
        <f t="shared" si="51"/>
        <v>2493</v>
      </c>
      <c r="L464" s="195"/>
    </row>
    <row r="465" spans="1:12" customFormat="1" outlineLevel="2" x14ac:dyDescent="0.2">
      <c r="A465" s="214" t="s">
        <v>2464</v>
      </c>
      <c r="B465" s="145" t="s">
        <v>3142</v>
      </c>
      <c r="C465" s="232" t="s">
        <v>487</v>
      </c>
      <c r="D465" s="118">
        <f t="shared" si="52"/>
        <v>2493.333333333333</v>
      </c>
      <c r="E465" s="118">
        <f t="shared" si="53"/>
        <v>498.66666666666674</v>
      </c>
      <c r="F465" s="118">
        <f t="shared" si="54"/>
        <v>2992</v>
      </c>
      <c r="G465" s="123">
        <v>2760</v>
      </c>
      <c r="H465" s="304">
        <f t="shared" si="50"/>
        <v>2991.84</v>
      </c>
      <c r="I465" s="304">
        <f t="shared" si="51"/>
        <v>2992</v>
      </c>
      <c r="L465" s="195"/>
    </row>
    <row r="466" spans="1:12" customFormat="1" outlineLevel="2" x14ac:dyDescent="0.2">
      <c r="A466" s="214" t="s">
        <v>3452</v>
      </c>
      <c r="B466" s="145" t="s">
        <v>3143</v>
      </c>
      <c r="C466" s="232" t="s">
        <v>487</v>
      </c>
      <c r="D466" s="118">
        <f t="shared" si="52"/>
        <v>3161.6666666666665</v>
      </c>
      <c r="E466" s="118">
        <f t="shared" si="53"/>
        <v>632.33333333333348</v>
      </c>
      <c r="F466" s="118">
        <f t="shared" si="54"/>
        <v>3794</v>
      </c>
      <c r="G466" s="123">
        <v>3500</v>
      </c>
      <c r="H466" s="304">
        <f t="shared" si="50"/>
        <v>3794.0000000000005</v>
      </c>
      <c r="I466" s="304">
        <f t="shared" si="51"/>
        <v>3794</v>
      </c>
      <c r="L466" s="195"/>
    </row>
    <row r="467" spans="1:12" customFormat="1" outlineLevel="2" x14ac:dyDescent="0.2">
      <c r="A467" s="214" t="s">
        <v>3453</v>
      </c>
      <c r="B467" s="145" t="s">
        <v>3144</v>
      </c>
      <c r="C467" s="232" t="s">
        <v>487</v>
      </c>
      <c r="D467" s="118">
        <f t="shared" si="52"/>
        <v>3703.333333333333</v>
      </c>
      <c r="E467" s="118">
        <f t="shared" si="53"/>
        <v>740.66666666666674</v>
      </c>
      <c r="F467" s="118">
        <f t="shared" si="54"/>
        <v>4444</v>
      </c>
      <c r="G467" s="123">
        <v>4100</v>
      </c>
      <c r="H467" s="304">
        <f t="shared" si="50"/>
        <v>4444.4000000000005</v>
      </c>
      <c r="I467" s="304">
        <f t="shared" si="51"/>
        <v>4444</v>
      </c>
      <c r="L467" s="195"/>
    </row>
    <row r="468" spans="1:12" customFormat="1" ht="31.5" outlineLevel="1" x14ac:dyDescent="0.2">
      <c r="A468" s="25" t="s">
        <v>2381</v>
      </c>
      <c r="B468" s="70" t="s">
        <v>747</v>
      </c>
      <c r="C468" s="213"/>
      <c r="D468" s="118"/>
      <c r="E468" s="118"/>
      <c r="F468" s="118"/>
      <c r="G468" s="118"/>
      <c r="H468" s="304">
        <f t="shared" si="47"/>
        <v>0</v>
      </c>
      <c r="I468" s="304">
        <f t="shared" si="48"/>
        <v>0</v>
      </c>
      <c r="L468" s="195"/>
    </row>
    <row r="469" spans="1:12" customFormat="1" outlineLevel="2" x14ac:dyDescent="0.2">
      <c r="A469" s="214" t="s">
        <v>2465</v>
      </c>
      <c r="B469" s="70" t="s">
        <v>627</v>
      </c>
      <c r="C469" s="213" t="s">
        <v>487</v>
      </c>
      <c r="D469" s="118">
        <f t="shared" si="45"/>
        <v>2402.5</v>
      </c>
      <c r="E469" s="118">
        <f t="shared" si="49"/>
        <v>480.5</v>
      </c>
      <c r="F469" s="118">
        <f t="shared" si="46"/>
        <v>2883</v>
      </c>
      <c r="G469" s="118">
        <v>2660</v>
      </c>
      <c r="H469" s="304">
        <f t="shared" si="47"/>
        <v>2883.44</v>
      </c>
      <c r="I469" s="304">
        <f t="shared" si="48"/>
        <v>2883</v>
      </c>
      <c r="L469" s="195"/>
    </row>
    <row r="470" spans="1:12" customFormat="1" outlineLevel="2" x14ac:dyDescent="0.2">
      <c r="A470" s="214" t="s">
        <v>2466</v>
      </c>
      <c r="B470" s="70" t="s">
        <v>748</v>
      </c>
      <c r="C470" s="213" t="s">
        <v>487</v>
      </c>
      <c r="D470" s="118">
        <f t="shared" si="45"/>
        <v>2402.5</v>
      </c>
      <c r="E470" s="118">
        <f t="shared" si="49"/>
        <v>480.5</v>
      </c>
      <c r="F470" s="118">
        <f t="shared" si="46"/>
        <v>2883</v>
      </c>
      <c r="G470" s="118">
        <v>2660</v>
      </c>
      <c r="H470" s="304">
        <f t="shared" si="47"/>
        <v>2883.44</v>
      </c>
      <c r="I470" s="304">
        <f t="shared" si="48"/>
        <v>2883</v>
      </c>
      <c r="L470" s="195"/>
    </row>
    <row r="471" spans="1:12" customFormat="1" outlineLevel="1" x14ac:dyDescent="0.2">
      <c r="A471" s="25" t="s">
        <v>2382</v>
      </c>
      <c r="B471" s="70" t="s">
        <v>749</v>
      </c>
      <c r="C471" s="213"/>
      <c r="D471" s="118"/>
      <c r="E471" s="118"/>
      <c r="F471" s="118"/>
      <c r="G471" s="118"/>
      <c r="H471" s="304">
        <f t="shared" si="47"/>
        <v>0</v>
      </c>
      <c r="I471" s="304">
        <f t="shared" si="48"/>
        <v>0</v>
      </c>
      <c r="L471" s="195"/>
    </row>
    <row r="472" spans="1:12" customFormat="1" outlineLevel="2" x14ac:dyDescent="0.2">
      <c r="A472" s="214" t="s">
        <v>3454</v>
      </c>
      <c r="B472" s="70" t="s">
        <v>750</v>
      </c>
      <c r="C472" s="213" t="s">
        <v>487</v>
      </c>
      <c r="D472" s="118">
        <f t="shared" si="45"/>
        <v>3673.333333333333</v>
      </c>
      <c r="E472" s="118">
        <f t="shared" si="49"/>
        <v>734.66666666666674</v>
      </c>
      <c r="F472" s="118">
        <f t="shared" si="46"/>
        <v>4408</v>
      </c>
      <c r="G472" s="118">
        <v>4066</v>
      </c>
      <c r="H472" s="304">
        <f t="shared" si="47"/>
        <v>4407.5439999999999</v>
      </c>
      <c r="I472" s="304">
        <f t="shared" si="48"/>
        <v>4408</v>
      </c>
      <c r="L472" s="195"/>
    </row>
    <row r="473" spans="1:12" customFormat="1" outlineLevel="2" x14ac:dyDescent="0.2">
      <c r="A473" s="214" t="s">
        <v>3455</v>
      </c>
      <c r="B473" s="70" t="s">
        <v>751</v>
      </c>
      <c r="C473" s="213" t="s">
        <v>487</v>
      </c>
      <c r="D473" s="118">
        <f t="shared" si="45"/>
        <v>3955.833333333333</v>
      </c>
      <c r="E473" s="118">
        <f t="shared" si="49"/>
        <v>791.16666666666674</v>
      </c>
      <c r="F473" s="118">
        <f t="shared" si="46"/>
        <v>4747</v>
      </c>
      <c r="G473" s="118">
        <v>4379</v>
      </c>
      <c r="H473" s="304">
        <f t="shared" si="47"/>
        <v>4746.8360000000002</v>
      </c>
      <c r="I473" s="304">
        <f t="shared" si="48"/>
        <v>4747</v>
      </c>
      <c r="L473" s="195"/>
    </row>
    <row r="474" spans="1:12" customFormat="1" outlineLevel="1" x14ac:dyDescent="0.2">
      <c r="A474" s="25" t="s">
        <v>2383</v>
      </c>
      <c r="B474" s="70" t="s">
        <v>752</v>
      </c>
      <c r="C474" s="107"/>
      <c r="D474" s="118"/>
      <c r="E474" s="118"/>
      <c r="F474" s="118"/>
      <c r="G474" s="118"/>
      <c r="H474" s="304">
        <f t="shared" si="47"/>
        <v>0</v>
      </c>
      <c r="I474" s="304">
        <f t="shared" si="48"/>
        <v>0</v>
      </c>
      <c r="L474" s="195"/>
    </row>
    <row r="475" spans="1:12" customFormat="1" outlineLevel="2" x14ac:dyDescent="0.2">
      <c r="A475" s="214" t="s">
        <v>2467</v>
      </c>
      <c r="B475" s="70" t="s">
        <v>644</v>
      </c>
      <c r="C475" s="213" t="s">
        <v>700</v>
      </c>
      <c r="D475" s="118">
        <f t="shared" si="45"/>
        <v>3390.833333333333</v>
      </c>
      <c r="E475" s="118">
        <f t="shared" si="49"/>
        <v>678.16666666666674</v>
      </c>
      <c r="F475" s="118">
        <f t="shared" si="46"/>
        <v>4069</v>
      </c>
      <c r="G475" s="118">
        <v>3754</v>
      </c>
      <c r="H475" s="304">
        <f t="shared" si="47"/>
        <v>4069.3360000000002</v>
      </c>
      <c r="I475" s="304">
        <f t="shared" si="48"/>
        <v>4069</v>
      </c>
      <c r="L475" s="195"/>
    </row>
    <row r="476" spans="1:12" customFormat="1" outlineLevel="2" x14ac:dyDescent="0.2">
      <c r="A476" s="214" t="s">
        <v>2468</v>
      </c>
      <c r="B476" s="70" t="s">
        <v>645</v>
      </c>
      <c r="C476" s="213" t="s">
        <v>700</v>
      </c>
      <c r="D476" s="118">
        <f t="shared" si="45"/>
        <v>3673.333333333333</v>
      </c>
      <c r="E476" s="118">
        <f t="shared" si="49"/>
        <v>734.66666666666674</v>
      </c>
      <c r="F476" s="118">
        <f t="shared" si="46"/>
        <v>4408</v>
      </c>
      <c r="G476" s="118">
        <v>4066</v>
      </c>
      <c r="H476" s="304">
        <f t="shared" si="47"/>
        <v>4407.5439999999999</v>
      </c>
      <c r="I476" s="304">
        <f t="shared" si="48"/>
        <v>4408</v>
      </c>
      <c r="L476" s="195"/>
    </row>
    <row r="477" spans="1:12" customFormat="1" outlineLevel="1" x14ac:dyDescent="0.2">
      <c r="A477" s="25" t="s">
        <v>2384</v>
      </c>
      <c r="B477" s="70" t="s">
        <v>753</v>
      </c>
      <c r="C477" s="87" t="s">
        <v>487</v>
      </c>
      <c r="D477" s="118">
        <f t="shared" si="45"/>
        <v>1358.3333333333333</v>
      </c>
      <c r="E477" s="118">
        <f t="shared" si="49"/>
        <v>271.66666666666669</v>
      </c>
      <c r="F477" s="118">
        <f t="shared" si="46"/>
        <v>1630</v>
      </c>
      <c r="G477" s="118">
        <v>1504</v>
      </c>
      <c r="H477" s="304">
        <f t="shared" si="47"/>
        <v>1630.336</v>
      </c>
      <c r="I477" s="304">
        <f t="shared" si="48"/>
        <v>1630</v>
      </c>
      <c r="L477" s="195"/>
    </row>
    <row r="478" spans="1:12" customFormat="1" outlineLevel="1" x14ac:dyDescent="0.2">
      <c r="A478" s="25" t="s">
        <v>2385</v>
      </c>
      <c r="B478" s="70" t="s">
        <v>754</v>
      </c>
      <c r="C478" s="107" t="s">
        <v>543</v>
      </c>
      <c r="D478" s="118">
        <f t="shared" si="45"/>
        <v>565.83333333333326</v>
      </c>
      <c r="E478" s="118">
        <f t="shared" si="49"/>
        <v>113.16666666666669</v>
      </c>
      <c r="F478" s="118">
        <f t="shared" si="46"/>
        <v>679</v>
      </c>
      <c r="G478" s="118">
        <v>626</v>
      </c>
      <c r="H478" s="304">
        <f t="shared" si="47"/>
        <v>678.58400000000006</v>
      </c>
      <c r="I478" s="304">
        <f t="shared" si="48"/>
        <v>679</v>
      </c>
      <c r="L478" s="195"/>
    </row>
    <row r="479" spans="1:12" customFormat="1" outlineLevel="1" x14ac:dyDescent="0.2">
      <c r="A479" s="25" t="s">
        <v>2386</v>
      </c>
      <c r="B479" s="70" t="s">
        <v>1458</v>
      </c>
      <c r="C479" s="87"/>
      <c r="D479" s="118"/>
      <c r="E479" s="118"/>
      <c r="F479" s="118"/>
      <c r="G479" s="118"/>
      <c r="H479" s="304">
        <f t="shared" si="47"/>
        <v>0</v>
      </c>
      <c r="I479" s="304">
        <f t="shared" si="48"/>
        <v>0</v>
      </c>
      <c r="L479" s="195"/>
    </row>
    <row r="480" spans="1:12" customFormat="1" outlineLevel="2" x14ac:dyDescent="0.2">
      <c r="A480" s="214" t="s">
        <v>2469</v>
      </c>
      <c r="B480" s="70" t="s">
        <v>644</v>
      </c>
      <c r="C480" s="87" t="s">
        <v>487</v>
      </c>
      <c r="D480" s="118">
        <f t="shared" si="45"/>
        <v>434.16666666666663</v>
      </c>
      <c r="E480" s="118">
        <f t="shared" si="49"/>
        <v>86.833333333333343</v>
      </c>
      <c r="F480" s="118">
        <f t="shared" si="46"/>
        <v>521</v>
      </c>
      <c r="G480" s="118">
        <v>481</v>
      </c>
      <c r="H480" s="304">
        <f t="shared" si="47"/>
        <v>521.404</v>
      </c>
      <c r="I480" s="304">
        <f t="shared" si="48"/>
        <v>521</v>
      </c>
      <c r="L480" s="195"/>
    </row>
    <row r="481" spans="1:12" customFormat="1" outlineLevel="2" x14ac:dyDescent="0.2">
      <c r="A481" s="214" t="s">
        <v>2470</v>
      </c>
      <c r="B481" s="70" t="s">
        <v>645</v>
      </c>
      <c r="C481" s="87" t="s">
        <v>487</v>
      </c>
      <c r="D481" s="118">
        <f t="shared" si="45"/>
        <v>771.66666666666663</v>
      </c>
      <c r="E481" s="118">
        <f t="shared" si="49"/>
        <v>154.33333333333337</v>
      </c>
      <c r="F481" s="118">
        <f t="shared" si="46"/>
        <v>926</v>
      </c>
      <c r="G481" s="118">
        <v>854</v>
      </c>
      <c r="H481" s="304">
        <f t="shared" si="47"/>
        <v>925.7360000000001</v>
      </c>
      <c r="I481" s="304">
        <f t="shared" si="48"/>
        <v>926</v>
      </c>
      <c r="L481" s="195"/>
    </row>
    <row r="482" spans="1:12" customFormat="1" outlineLevel="1" x14ac:dyDescent="0.2">
      <c r="A482" s="25" t="s">
        <v>2387</v>
      </c>
      <c r="B482" s="70" t="s">
        <v>1488</v>
      </c>
      <c r="C482" s="141" t="s">
        <v>543</v>
      </c>
      <c r="D482" s="118">
        <f t="shared" si="45"/>
        <v>385.83333333333331</v>
      </c>
      <c r="E482" s="118">
        <f t="shared" si="49"/>
        <v>77.166666666666686</v>
      </c>
      <c r="F482" s="118">
        <f t="shared" si="46"/>
        <v>463</v>
      </c>
      <c r="G482" s="118">
        <v>427</v>
      </c>
      <c r="H482" s="304">
        <f t="shared" si="47"/>
        <v>462.86800000000005</v>
      </c>
      <c r="I482" s="304">
        <f t="shared" si="48"/>
        <v>463</v>
      </c>
      <c r="L482" s="195"/>
    </row>
    <row r="483" spans="1:12" customFormat="1" outlineLevel="1" x14ac:dyDescent="0.2">
      <c r="A483" s="25" t="s">
        <v>2388</v>
      </c>
      <c r="B483" s="70" t="s">
        <v>1491</v>
      </c>
      <c r="C483" s="141"/>
      <c r="D483" s="118"/>
      <c r="E483" s="118"/>
      <c r="F483" s="118"/>
      <c r="G483" s="118"/>
      <c r="H483" s="304">
        <f t="shared" si="47"/>
        <v>0</v>
      </c>
      <c r="I483" s="304">
        <f t="shared" si="48"/>
        <v>0</v>
      </c>
      <c r="L483" s="195"/>
    </row>
    <row r="484" spans="1:12" customFormat="1" outlineLevel="2" x14ac:dyDescent="0.2">
      <c r="A484" s="214" t="s">
        <v>3456</v>
      </c>
      <c r="B484" s="70" t="s">
        <v>644</v>
      </c>
      <c r="C484" s="213" t="s">
        <v>543</v>
      </c>
      <c r="D484" s="118">
        <f t="shared" si="45"/>
        <v>2219.1666666666665</v>
      </c>
      <c r="E484" s="118">
        <f t="shared" si="49"/>
        <v>443.83333333333343</v>
      </c>
      <c r="F484" s="118">
        <f t="shared" si="46"/>
        <v>2663</v>
      </c>
      <c r="G484" s="118">
        <v>2457</v>
      </c>
      <c r="H484" s="304">
        <f t="shared" si="47"/>
        <v>2663.3880000000004</v>
      </c>
      <c r="I484" s="304">
        <f t="shared" si="48"/>
        <v>2663</v>
      </c>
      <c r="L484" s="195"/>
    </row>
    <row r="485" spans="1:12" customFormat="1" outlineLevel="2" x14ac:dyDescent="0.2">
      <c r="A485" s="214" t="s">
        <v>3457</v>
      </c>
      <c r="B485" s="70" t="s">
        <v>645</v>
      </c>
      <c r="C485" s="213" t="s">
        <v>543</v>
      </c>
      <c r="D485" s="118">
        <f t="shared" si="45"/>
        <v>3184.1666666666665</v>
      </c>
      <c r="E485" s="118">
        <f t="shared" si="49"/>
        <v>636.83333333333348</v>
      </c>
      <c r="F485" s="118">
        <f t="shared" si="46"/>
        <v>3821</v>
      </c>
      <c r="G485" s="118">
        <v>3525</v>
      </c>
      <c r="H485" s="304">
        <f t="shared" si="47"/>
        <v>3821.1000000000004</v>
      </c>
      <c r="I485" s="304">
        <f t="shared" si="48"/>
        <v>3821</v>
      </c>
      <c r="L485" s="195"/>
    </row>
    <row r="486" spans="1:12" customFormat="1" outlineLevel="1" x14ac:dyDescent="0.2">
      <c r="A486" s="25" t="s">
        <v>2389</v>
      </c>
      <c r="B486" s="70" t="s">
        <v>1561</v>
      </c>
      <c r="C486" s="155"/>
      <c r="D486" s="118"/>
      <c r="E486" s="118"/>
      <c r="F486" s="118"/>
      <c r="G486" s="118"/>
      <c r="H486" s="304">
        <f t="shared" si="47"/>
        <v>0</v>
      </c>
      <c r="I486" s="304">
        <f t="shared" si="48"/>
        <v>0</v>
      </c>
      <c r="L486" s="195"/>
    </row>
    <row r="487" spans="1:12" customFormat="1" outlineLevel="2" x14ac:dyDescent="0.2">
      <c r="A487" s="214" t="s">
        <v>2471</v>
      </c>
      <c r="B487" s="70" t="s">
        <v>1562</v>
      </c>
      <c r="C487" s="213" t="s">
        <v>543</v>
      </c>
      <c r="D487" s="118">
        <f t="shared" si="45"/>
        <v>411.66666666666663</v>
      </c>
      <c r="E487" s="118">
        <f t="shared" si="49"/>
        <v>82.333333333333343</v>
      </c>
      <c r="F487" s="118">
        <f t="shared" si="46"/>
        <v>494</v>
      </c>
      <c r="G487" s="118">
        <v>456</v>
      </c>
      <c r="H487" s="304">
        <f t="shared" si="47"/>
        <v>494.30400000000003</v>
      </c>
      <c r="I487" s="304">
        <f t="shared" si="48"/>
        <v>494</v>
      </c>
      <c r="L487" s="195"/>
    </row>
    <row r="488" spans="1:12" customFormat="1" outlineLevel="2" x14ac:dyDescent="0.2">
      <c r="A488" s="214" t="s">
        <v>2472</v>
      </c>
      <c r="B488" s="70" t="s">
        <v>1563</v>
      </c>
      <c r="C488" s="213" t="s">
        <v>543</v>
      </c>
      <c r="D488" s="118">
        <f t="shared" si="45"/>
        <v>1095.8333333333333</v>
      </c>
      <c r="E488" s="118">
        <f t="shared" si="49"/>
        <v>219.16666666666671</v>
      </c>
      <c r="F488" s="118">
        <f t="shared" si="46"/>
        <v>1315</v>
      </c>
      <c r="G488" s="118">
        <v>1213</v>
      </c>
      <c r="H488" s="304">
        <f t="shared" si="47"/>
        <v>1314.8920000000001</v>
      </c>
      <c r="I488" s="304">
        <f t="shared" si="48"/>
        <v>1315</v>
      </c>
      <c r="L488" s="195"/>
    </row>
    <row r="489" spans="1:12" customFormat="1" outlineLevel="1" x14ac:dyDescent="0.2">
      <c r="A489" s="25" t="s">
        <v>2390</v>
      </c>
      <c r="B489" s="70" t="s">
        <v>1564</v>
      </c>
      <c r="C489" s="213"/>
      <c r="D489" s="118"/>
      <c r="E489" s="118"/>
      <c r="F489" s="118"/>
      <c r="G489" s="118"/>
      <c r="H489" s="304">
        <f t="shared" si="47"/>
        <v>0</v>
      </c>
      <c r="I489" s="304">
        <f t="shared" si="48"/>
        <v>0</v>
      </c>
      <c r="L489" s="195"/>
    </row>
    <row r="490" spans="1:12" customFormat="1" outlineLevel="1" x14ac:dyDescent="0.2">
      <c r="A490" s="214" t="s">
        <v>3458</v>
      </c>
      <c r="B490" s="70" t="s">
        <v>1562</v>
      </c>
      <c r="C490" s="213" t="s">
        <v>543</v>
      </c>
      <c r="D490" s="118">
        <f t="shared" si="45"/>
        <v>411.66666666666663</v>
      </c>
      <c r="E490" s="118">
        <f t="shared" si="49"/>
        <v>82.333333333333343</v>
      </c>
      <c r="F490" s="118">
        <f t="shared" si="46"/>
        <v>494</v>
      </c>
      <c r="G490" s="118">
        <v>456</v>
      </c>
      <c r="H490" s="304">
        <f t="shared" si="47"/>
        <v>494.30400000000003</v>
      </c>
      <c r="I490" s="304">
        <f t="shared" si="48"/>
        <v>494</v>
      </c>
      <c r="L490" s="195"/>
    </row>
    <row r="491" spans="1:12" customFormat="1" outlineLevel="1" x14ac:dyDescent="0.2">
      <c r="A491" s="214" t="s">
        <v>3459</v>
      </c>
      <c r="B491" s="70" t="s">
        <v>1563</v>
      </c>
      <c r="C491" s="213" t="s">
        <v>543</v>
      </c>
      <c r="D491" s="118">
        <f t="shared" si="45"/>
        <v>1095.8333333333333</v>
      </c>
      <c r="E491" s="118">
        <f t="shared" si="49"/>
        <v>219.16666666666671</v>
      </c>
      <c r="F491" s="118">
        <f t="shared" si="46"/>
        <v>1315</v>
      </c>
      <c r="G491" s="118">
        <v>1213</v>
      </c>
      <c r="H491" s="304">
        <f t="shared" si="47"/>
        <v>1314.8920000000001</v>
      </c>
      <c r="I491" s="304">
        <f t="shared" si="48"/>
        <v>1315</v>
      </c>
      <c r="L491" s="195"/>
    </row>
    <row r="492" spans="1:12" customFormat="1" outlineLevel="1" x14ac:dyDescent="0.2">
      <c r="A492" s="25" t="s">
        <v>2391</v>
      </c>
      <c r="B492" s="70" t="s">
        <v>1584</v>
      </c>
      <c r="C492" s="213" t="s">
        <v>543</v>
      </c>
      <c r="D492" s="118">
        <f t="shared" si="45"/>
        <v>126.66666666666666</v>
      </c>
      <c r="E492" s="118">
        <f t="shared" si="49"/>
        <v>25.333333333333336</v>
      </c>
      <c r="F492" s="118">
        <f t="shared" si="46"/>
        <v>152</v>
      </c>
      <c r="G492" s="118">
        <v>140</v>
      </c>
      <c r="H492" s="304">
        <f t="shared" si="47"/>
        <v>151.76000000000002</v>
      </c>
      <c r="I492" s="304">
        <f t="shared" si="48"/>
        <v>152</v>
      </c>
      <c r="L492" s="195"/>
    </row>
    <row r="493" spans="1:12" customFormat="1" outlineLevel="1" x14ac:dyDescent="0.2">
      <c r="A493" s="25" t="s">
        <v>2392</v>
      </c>
      <c r="B493" s="145" t="s">
        <v>3052</v>
      </c>
      <c r="C493" s="213"/>
      <c r="D493" s="118"/>
      <c r="E493" s="118"/>
      <c r="F493" s="118"/>
      <c r="G493" s="118"/>
      <c r="H493" s="304">
        <f t="shared" si="47"/>
        <v>0</v>
      </c>
      <c r="I493" s="304">
        <f t="shared" si="48"/>
        <v>0</v>
      </c>
      <c r="L493" s="195"/>
    </row>
    <row r="494" spans="1:12" customFormat="1" outlineLevel="2" x14ac:dyDescent="0.2">
      <c r="A494" s="214" t="s">
        <v>2473</v>
      </c>
      <c r="B494" s="70" t="s">
        <v>1558</v>
      </c>
      <c r="C494" s="213" t="s">
        <v>543</v>
      </c>
      <c r="D494" s="118">
        <f t="shared" si="45"/>
        <v>1320.8333333333333</v>
      </c>
      <c r="E494" s="118">
        <f t="shared" si="49"/>
        <v>264.16666666666669</v>
      </c>
      <c r="F494" s="118">
        <f t="shared" si="46"/>
        <v>1585</v>
      </c>
      <c r="G494" s="118">
        <v>1462</v>
      </c>
      <c r="H494" s="304">
        <f t="shared" si="47"/>
        <v>1584.8080000000002</v>
      </c>
      <c r="I494" s="304">
        <f t="shared" si="48"/>
        <v>1585</v>
      </c>
      <c r="L494" s="195"/>
    </row>
    <row r="495" spans="1:12" customFormat="1" outlineLevel="2" x14ac:dyDescent="0.2">
      <c r="A495" s="214" t="s">
        <v>2474</v>
      </c>
      <c r="B495" s="70" t="s">
        <v>1559</v>
      </c>
      <c r="C495" s="213" t="s">
        <v>543</v>
      </c>
      <c r="D495" s="118">
        <f t="shared" si="45"/>
        <v>1330.8333333333333</v>
      </c>
      <c r="E495" s="118">
        <f t="shared" si="49"/>
        <v>266.16666666666669</v>
      </c>
      <c r="F495" s="118">
        <f t="shared" si="46"/>
        <v>1597</v>
      </c>
      <c r="G495" s="118">
        <v>1473</v>
      </c>
      <c r="H495" s="304">
        <f t="shared" si="47"/>
        <v>1596.7320000000002</v>
      </c>
      <c r="I495" s="304">
        <f t="shared" si="48"/>
        <v>1597</v>
      </c>
      <c r="L495" s="195"/>
    </row>
    <row r="496" spans="1:12" customFormat="1" outlineLevel="2" x14ac:dyDescent="0.2">
      <c r="A496" s="214" t="s">
        <v>3460</v>
      </c>
      <c r="B496" s="70" t="s">
        <v>1560</v>
      </c>
      <c r="C496" s="213" t="s">
        <v>543</v>
      </c>
      <c r="D496" s="118">
        <f t="shared" si="45"/>
        <v>1995.8333333333333</v>
      </c>
      <c r="E496" s="118">
        <f t="shared" si="49"/>
        <v>399.16666666666674</v>
      </c>
      <c r="F496" s="118">
        <f t="shared" si="46"/>
        <v>2395</v>
      </c>
      <c r="G496" s="118">
        <v>2209</v>
      </c>
      <c r="H496" s="304">
        <f t="shared" si="47"/>
        <v>2394.556</v>
      </c>
      <c r="I496" s="304">
        <f t="shared" si="48"/>
        <v>2395</v>
      </c>
      <c r="L496" s="195"/>
    </row>
    <row r="497" spans="1:12" customFormat="1" outlineLevel="1" x14ac:dyDescent="0.2">
      <c r="A497" s="25" t="s">
        <v>2393</v>
      </c>
      <c r="B497" s="145" t="s">
        <v>1592</v>
      </c>
      <c r="C497" s="213"/>
      <c r="D497" s="118"/>
      <c r="E497" s="118"/>
      <c r="F497" s="118"/>
      <c r="G497" s="118"/>
      <c r="H497" s="304">
        <f t="shared" si="47"/>
        <v>0</v>
      </c>
      <c r="I497" s="304">
        <f t="shared" si="48"/>
        <v>0</v>
      </c>
      <c r="L497" s="195"/>
    </row>
    <row r="498" spans="1:12" customFormat="1" outlineLevel="2" x14ac:dyDescent="0.2">
      <c r="A498" s="214" t="s">
        <v>3461</v>
      </c>
      <c r="B498" s="70" t="s">
        <v>1558</v>
      </c>
      <c r="C498" s="213" t="s">
        <v>543</v>
      </c>
      <c r="D498" s="118">
        <f t="shared" si="45"/>
        <v>1330.8333333333333</v>
      </c>
      <c r="E498" s="118">
        <f t="shared" si="49"/>
        <v>266.16666666666669</v>
      </c>
      <c r="F498" s="118">
        <f t="shared" si="46"/>
        <v>1597</v>
      </c>
      <c r="G498" s="118">
        <v>1473</v>
      </c>
      <c r="H498" s="304">
        <f t="shared" si="47"/>
        <v>1596.7320000000002</v>
      </c>
      <c r="I498" s="304">
        <f t="shared" si="48"/>
        <v>1597</v>
      </c>
      <c r="L498" s="195"/>
    </row>
    <row r="499" spans="1:12" customFormat="1" outlineLevel="2" x14ac:dyDescent="0.2">
      <c r="A499" s="214" t="s">
        <v>3462</v>
      </c>
      <c r="B499" s="70" t="s">
        <v>1559</v>
      </c>
      <c r="C499" s="213" t="s">
        <v>543</v>
      </c>
      <c r="D499" s="118">
        <f t="shared" si="45"/>
        <v>1348.3333333333333</v>
      </c>
      <c r="E499" s="118">
        <f t="shared" si="49"/>
        <v>269.66666666666669</v>
      </c>
      <c r="F499" s="118">
        <f t="shared" si="46"/>
        <v>1618</v>
      </c>
      <c r="G499" s="118">
        <v>1493</v>
      </c>
      <c r="H499" s="304">
        <f t="shared" si="47"/>
        <v>1618.412</v>
      </c>
      <c r="I499" s="304">
        <f t="shared" si="48"/>
        <v>1618</v>
      </c>
      <c r="L499" s="195"/>
    </row>
    <row r="500" spans="1:12" customFormat="1" outlineLevel="2" x14ac:dyDescent="0.2">
      <c r="A500" s="214" t="s">
        <v>3463</v>
      </c>
      <c r="B500" s="70" t="s">
        <v>1560</v>
      </c>
      <c r="C500" s="213" t="s">
        <v>543</v>
      </c>
      <c r="D500" s="118">
        <f t="shared" si="45"/>
        <v>1363.3333333333333</v>
      </c>
      <c r="E500" s="118">
        <f t="shared" si="49"/>
        <v>272.66666666666669</v>
      </c>
      <c r="F500" s="118">
        <f t="shared" si="46"/>
        <v>1636</v>
      </c>
      <c r="G500" s="118">
        <v>1509</v>
      </c>
      <c r="H500" s="304">
        <f t="shared" si="47"/>
        <v>1635.7560000000001</v>
      </c>
      <c r="I500" s="304">
        <f t="shared" si="48"/>
        <v>1636</v>
      </c>
      <c r="L500" s="195"/>
    </row>
    <row r="501" spans="1:12" customFormat="1" outlineLevel="1" x14ac:dyDescent="0.2">
      <c r="A501" s="25" t="s">
        <v>2394</v>
      </c>
      <c r="B501" s="145" t="s">
        <v>1593</v>
      </c>
      <c r="C501" s="213"/>
      <c r="D501" s="118"/>
      <c r="E501" s="118"/>
      <c r="F501" s="118"/>
      <c r="G501" s="118"/>
      <c r="H501" s="304">
        <f t="shared" si="47"/>
        <v>0</v>
      </c>
      <c r="I501" s="304">
        <f t="shared" si="48"/>
        <v>0</v>
      </c>
      <c r="L501" s="195"/>
    </row>
    <row r="502" spans="1:12" customFormat="1" outlineLevel="2" x14ac:dyDescent="0.2">
      <c r="A502" s="214" t="s">
        <v>3464</v>
      </c>
      <c r="B502" s="70" t="s">
        <v>1558</v>
      </c>
      <c r="C502" s="213" t="s">
        <v>543</v>
      </c>
      <c r="D502" s="118">
        <f t="shared" si="45"/>
        <v>1330.8333333333333</v>
      </c>
      <c r="E502" s="118">
        <f t="shared" si="49"/>
        <v>266.16666666666669</v>
      </c>
      <c r="F502" s="118">
        <f t="shared" si="46"/>
        <v>1597</v>
      </c>
      <c r="G502" s="118">
        <v>1473</v>
      </c>
      <c r="H502" s="304">
        <f t="shared" si="47"/>
        <v>1596.7320000000002</v>
      </c>
      <c r="I502" s="304">
        <f t="shared" si="48"/>
        <v>1597</v>
      </c>
      <c r="L502" s="195"/>
    </row>
    <row r="503" spans="1:12" customFormat="1" outlineLevel="2" x14ac:dyDescent="0.2">
      <c r="A503" s="214" t="s">
        <v>3465</v>
      </c>
      <c r="B503" s="70" t="s">
        <v>1559</v>
      </c>
      <c r="C503" s="213" t="s">
        <v>543</v>
      </c>
      <c r="D503" s="118">
        <f t="shared" si="45"/>
        <v>1348.3333333333333</v>
      </c>
      <c r="E503" s="118">
        <f t="shared" si="49"/>
        <v>269.66666666666669</v>
      </c>
      <c r="F503" s="118">
        <f t="shared" si="46"/>
        <v>1618</v>
      </c>
      <c r="G503" s="118">
        <v>1493</v>
      </c>
      <c r="H503" s="304">
        <f t="shared" si="47"/>
        <v>1618.412</v>
      </c>
      <c r="I503" s="304">
        <f t="shared" si="48"/>
        <v>1618</v>
      </c>
      <c r="L503" s="195"/>
    </row>
    <row r="504" spans="1:12" customFormat="1" outlineLevel="2" x14ac:dyDescent="0.2">
      <c r="A504" s="214" t="s">
        <v>3466</v>
      </c>
      <c r="B504" s="70" t="s">
        <v>1560</v>
      </c>
      <c r="C504" s="213" t="s">
        <v>543</v>
      </c>
      <c r="D504" s="118">
        <f t="shared" si="45"/>
        <v>1363.3333333333333</v>
      </c>
      <c r="E504" s="118">
        <f t="shared" si="49"/>
        <v>272.66666666666669</v>
      </c>
      <c r="F504" s="118">
        <f t="shared" si="46"/>
        <v>1636</v>
      </c>
      <c r="G504" s="118">
        <v>1509</v>
      </c>
      <c r="H504" s="304">
        <f t="shared" si="47"/>
        <v>1635.7560000000001</v>
      </c>
      <c r="I504" s="304">
        <f t="shared" si="48"/>
        <v>1636</v>
      </c>
      <c r="L504" s="195"/>
    </row>
    <row r="505" spans="1:12" customFormat="1" outlineLevel="1" x14ac:dyDescent="0.2">
      <c r="A505" s="25" t="s">
        <v>2395</v>
      </c>
      <c r="B505" s="145" t="s">
        <v>1594</v>
      </c>
      <c r="C505" s="213"/>
      <c r="D505" s="118"/>
      <c r="E505" s="118"/>
      <c r="F505" s="118"/>
      <c r="G505" s="118"/>
      <c r="H505" s="304">
        <f t="shared" si="47"/>
        <v>0</v>
      </c>
      <c r="I505" s="304">
        <f t="shared" si="48"/>
        <v>0</v>
      </c>
      <c r="L505" s="195"/>
    </row>
    <row r="506" spans="1:12" customFormat="1" outlineLevel="2" x14ac:dyDescent="0.2">
      <c r="A506" s="214" t="s">
        <v>2475</v>
      </c>
      <c r="B506" s="70" t="s">
        <v>1558</v>
      </c>
      <c r="C506" s="213" t="s">
        <v>543</v>
      </c>
      <c r="D506" s="118">
        <f t="shared" si="45"/>
        <v>1330.8333333333333</v>
      </c>
      <c r="E506" s="118">
        <f t="shared" si="49"/>
        <v>266.16666666666669</v>
      </c>
      <c r="F506" s="118">
        <f t="shared" si="46"/>
        <v>1597</v>
      </c>
      <c r="G506" s="118">
        <v>1473</v>
      </c>
      <c r="H506" s="304">
        <f t="shared" si="47"/>
        <v>1596.7320000000002</v>
      </c>
      <c r="I506" s="304">
        <f t="shared" si="48"/>
        <v>1597</v>
      </c>
      <c r="L506" s="195"/>
    </row>
    <row r="507" spans="1:12" customFormat="1" outlineLevel="2" x14ac:dyDescent="0.2">
      <c r="A507" s="214" t="s">
        <v>2476</v>
      </c>
      <c r="B507" s="70" t="s">
        <v>1559</v>
      </c>
      <c r="C507" s="213" t="s">
        <v>543</v>
      </c>
      <c r="D507" s="118">
        <f t="shared" si="45"/>
        <v>1348.3333333333333</v>
      </c>
      <c r="E507" s="118">
        <f t="shared" si="49"/>
        <v>269.66666666666669</v>
      </c>
      <c r="F507" s="118">
        <f t="shared" si="46"/>
        <v>1618</v>
      </c>
      <c r="G507" s="118">
        <v>1493</v>
      </c>
      <c r="H507" s="304">
        <f t="shared" si="47"/>
        <v>1618.412</v>
      </c>
      <c r="I507" s="304">
        <f t="shared" si="48"/>
        <v>1618</v>
      </c>
      <c r="L507" s="195"/>
    </row>
    <row r="508" spans="1:12" customFormat="1" outlineLevel="2" x14ac:dyDescent="0.2">
      <c r="A508" s="214" t="s">
        <v>2477</v>
      </c>
      <c r="B508" s="70" t="s">
        <v>1560</v>
      </c>
      <c r="C508" s="213" t="s">
        <v>543</v>
      </c>
      <c r="D508" s="118">
        <f t="shared" si="45"/>
        <v>1363.3333333333333</v>
      </c>
      <c r="E508" s="118">
        <f t="shared" si="49"/>
        <v>272.66666666666669</v>
      </c>
      <c r="F508" s="118">
        <f t="shared" si="46"/>
        <v>1636</v>
      </c>
      <c r="G508" s="118">
        <v>1509</v>
      </c>
      <c r="H508" s="304">
        <f t="shared" si="47"/>
        <v>1635.7560000000001</v>
      </c>
      <c r="I508" s="304">
        <f t="shared" si="48"/>
        <v>1636</v>
      </c>
      <c r="L508" s="195"/>
    </row>
    <row r="509" spans="1:12" customFormat="1" outlineLevel="1" x14ac:dyDescent="0.2">
      <c r="A509" s="25" t="s">
        <v>2396</v>
      </c>
      <c r="B509" s="145" t="s">
        <v>1595</v>
      </c>
      <c r="C509" s="213"/>
      <c r="D509" s="118"/>
      <c r="E509" s="118"/>
      <c r="F509" s="118"/>
      <c r="G509" s="118"/>
      <c r="H509" s="304">
        <f t="shared" si="47"/>
        <v>0</v>
      </c>
      <c r="I509" s="304">
        <f t="shared" si="48"/>
        <v>0</v>
      </c>
      <c r="L509" s="195"/>
    </row>
    <row r="510" spans="1:12" customFormat="1" outlineLevel="2" x14ac:dyDescent="0.2">
      <c r="A510" s="214" t="s">
        <v>2478</v>
      </c>
      <c r="B510" s="70" t="s">
        <v>1558</v>
      </c>
      <c r="C510" s="213" t="s">
        <v>543</v>
      </c>
      <c r="D510" s="118">
        <f t="shared" si="45"/>
        <v>1330.8333333333333</v>
      </c>
      <c r="E510" s="118">
        <f t="shared" si="49"/>
        <v>266.16666666666669</v>
      </c>
      <c r="F510" s="118">
        <f t="shared" si="46"/>
        <v>1597</v>
      </c>
      <c r="G510" s="118">
        <v>1473</v>
      </c>
      <c r="H510" s="304">
        <f t="shared" si="47"/>
        <v>1596.7320000000002</v>
      </c>
      <c r="I510" s="304">
        <f t="shared" si="48"/>
        <v>1597</v>
      </c>
      <c r="L510" s="195"/>
    </row>
    <row r="511" spans="1:12" customFormat="1" outlineLevel="2" x14ac:dyDescent="0.2">
      <c r="A511" s="214" t="s">
        <v>2479</v>
      </c>
      <c r="B511" s="70" t="s">
        <v>1559</v>
      </c>
      <c r="C511" s="213" t="s">
        <v>543</v>
      </c>
      <c r="D511" s="118">
        <f t="shared" ref="D511:D572" si="55">F511-E511</f>
        <v>1348.3333333333333</v>
      </c>
      <c r="E511" s="118">
        <f t="shared" si="49"/>
        <v>269.66666666666669</v>
      </c>
      <c r="F511" s="118">
        <f t="shared" ref="F511:F570" si="56">I511</f>
        <v>1618</v>
      </c>
      <c r="G511" s="118">
        <v>1493</v>
      </c>
      <c r="H511" s="304">
        <f t="shared" ref="H511:H570" si="57">G511*$H$8</f>
        <v>1618.412</v>
      </c>
      <c r="I511" s="304">
        <f t="shared" ref="I511:I570" si="58">ROUND(H511,0)</f>
        <v>1618</v>
      </c>
      <c r="L511" s="195"/>
    </row>
    <row r="512" spans="1:12" customFormat="1" outlineLevel="2" x14ac:dyDescent="0.2">
      <c r="A512" s="214" t="s">
        <v>2480</v>
      </c>
      <c r="B512" s="70" t="s">
        <v>1560</v>
      </c>
      <c r="C512" s="213" t="s">
        <v>543</v>
      </c>
      <c r="D512" s="118">
        <f t="shared" si="55"/>
        <v>1363.3333333333333</v>
      </c>
      <c r="E512" s="118">
        <f t="shared" ref="E512:E572" si="59">F512/1.2*0.2</f>
        <v>272.66666666666669</v>
      </c>
      <c r="F512" s="118">
        <f t="shared" si="56"/>
        <v>1636</v>
      </c>
      <c r="G512" s="118">
        <v>1509</v>
      </c>
      <c r="H512" s="304">
        <f t="shared" si="57"/>
        <v>1635.7560000000001</v>
      </c>
      <c r="I512" s="304">
        <f t="shared" si="58"/>
        <v>1636</v>
      </c>
      <c r="L512" s="195"/>
    </row>
    <row r="513" spans="1:12" customFormat="1" outlineLevel="1" x14ac:dyDescent="0.2">
      <c r="A513" s="25" t="s">
        <v>2397</v>
      </c>
      <c r="B513" s="145" t="s">
        <v>1611</v>
      </c>
      <c r="C513" s="180" t="s">
        <v>543</v>
      </c>
      <c r="D513" s="118">
        <f t="shared" si="55"/>
        <v>900</v>
      </c>
      <c r="E513" s="118">
        <f t="shared" si="59"/>
        <v>180</v>
      </c>
      <c r="F513" s="118">
        <f t="shared" si="56"/>
        <v>1080</v>
      </c>
      <c r="G513" s="118">
        <v>996</v>
      </c>
      <c r="H513" s="304">
        <f t="shared" si="57"/>
        <v>1079.664</v>
      </c>
      <c r="I513" s="304">
        <f t="shared" si="58"/>
        <v>1080</v>
      </c>
      <c r="L513" s="195"/>
    </row>
    <row r="514" spans="1:12" customFormat="1" outlineLevel="1" x14ac:dyDescent="0.2">
      <c r="A514" s="25" t="s">
        <v>2398</v>
      </c>
      <c r="B514" s="145" t="s">
        <v>1665</v>
      </c>
      <c r="C514" s="184" t="s">
        <v>543</v>
      </c>
      <c r="D514" s="118">
        <f t="shared" si="55"/>
        <v>2332.5</v>
      </c>
      <c r="E514" s="118">
        <f t="shared" si="59"/>
        <v>466.5</v>
      </c>
      <c r="F514" s="118">
        <f t="shared" si="56"/>
        <v>2799</v>
      </c>
      <c r="G514" s="118">
        <v>2582</v>
      </c>
      <c r="H514" s="304">
        <f t="shared" si="57"/>
        <v>2798.8880000000004</v>
      </c>
      <c r="I514" s="304">
        <f t="shared" si="58"/>
        <v>2799</v>
      </c>
      <c r="L514" s="195"/>
    </row>
    <row r="515" spans="1:12" customFormat="1" outlineLevel="1" x14ac:dyDescent="0.2">
      <c r="A515" s="25" t="s">
        <v>2399</v>
      </c>
      <c r="B515" s="145" t="s">
        <v>1724</v>
      </c>
      <c r="C515" s="191" t="s">
        <v>487</v>
      </c>
      <c r="D515" s="118">
        <f t="shared" si="55"/>
        <v>4777.5</v>
      </c>
      <c r="E515" s="118">
        <f t="shared" si="59"/>
        <v>955.5</v>
      </c>
      <c r="F515" s="118">
        <f t="shared" si="56"/>
        <v>5733</v>
      </c>
      <c r="G515" s="118">
        <v>5289</v>
      </c>
      <c r="H515" s="304">
        <f t="shared" si="57"/>
        <v>5733.2760000000007</v>
      </c>
      <c r="I515" s="304">
        <f t="shared" si="58"/>
        <v>5733</v>
      </c>
      <c r="L515" s="195"/>
    </row>
    <row r="516" spans="1:12" customFormat="1" outlineLevel="1" x14ac:dyDescent="0.2">
      <c r="A516" s="25" t="s">
        <v>2400</v>
      </c>
      <c r="B516" s="145" t="s">
        <v>1725</v>
      </c>
      <c r="C516" s="191" t="s">
        <v>487</v>
      </c>
      <c r="D516" s="118">
        <f t="shared" si="55"/>
        <v>2950.833333333333</v>
      </c>
      <c r="E516" s="118">
        <f t="shared" si="59"/>
        <v>590.16666666666674</v>
      </c>
      <c r="F516" s="118">
        <f t="shared" si="56"/>
        <v>3541</v>
      </c>
      <c r="G516" s="118">
        <v>3267</v>
      </c>
      <c r="H516" s="304">
        <f t="shared" si="57"/>
        <v>3541.4280000000003</v>
      </c>
      <c r="I516" s="304">
        <f t="shared" si="58"/>
        <v>3541</v>
      </c>
      <c r="L516" s="195"/>
    </row>
    <row r="517" spans="1:12" customFormat="1" outlineLevel="1" x14ac:dyDescent="0.2">
      <c r="A517" s="25" t="s">
        <v>2401</v>
      </c>
      <c r="B517" s="145" t="s">
        <v>1726</v>
      </c>
      <c r="C517" s="191" t="s">
        <v>487</v>
      </c>
      <c r="D517" s="118">
        <f t="shared" si="55"/>
        <v>2154.1666666666665</v>
      </c>
      <c r="E517" s="118">
        <f t="shared" si="59"/>
        <v>430.83333333333343</v>
      </c>
      <c r="F517" s="118">
        <f t="shared" si="56"/>
        <v>2585</v>
      </c>
      <c r="G517" s="118">
        <v>2385</v>
      </c>
      <c r="H517" s="304">
        <f t="shared" si="57"/>
        <v>2585.34</v>
      </c>
      <c r="I517" s="304">
        <f t="shared" si="58"/>
        <v>2585</v>
      </c>
      <c r="L517" s="195"/>
    </row>
    <row r="518" spans="1:12" customFormat="1" outlineLevel="1" x14ac:dyDescent="0.2">
      <c r="A518" s="25" t="s">
        <v>2402</v>
      </c>
      <c r="B518" s="145" t="s">
        <v>1844</v>
      </c>
      <c r="C518" s="200"/>
      <c r="D518" s="118"/>
      <c r="E518" s="118"/>
      <c r="F518" s="118"/>
      <c r="G518" s="118"/>
      <c r="H518" s="304">
        <f t="shared" si="57"/>
        <v>0</v>
      </c>
      <c r="I518" s="304">
        <f t="shared" si="58"/>
        <v>0</v>
      </c>
      <c r="L518" s="195"/>
    </row>
    <row r="519" spans="1:12" customFormat="1" outlineLevel="2" x14ac:dyDescent="0.2">
      <c r="A519" s="214" t="s">
        <v>3467</v>
      </c>
      <c r="B519" s="145" t="s">
        <v>1845</v>
      </c>
      <c r="C519" s="213" t="s">
        <v>487</v>
      </c>
      <c r="D519" s="118">
        <f t="shared" si="55"/>
        <v>388.33333333333331</v>
      </c>
      <c r="E519" s="118">
        <f t="shared" si="59"/>
        <v>77.666666666666686</v>
      </c>
      <c r="F519" s="118">
        <f t="shared" si="56"/>
        <v>466</v>
      </c>
      <c r="G519" s="118">
        <v>430</v>
      </c>
      <c r="H519" s="304">
        <f t="shared" si="57"/>
        <v>466.12</v>
      </c>
      <c r="I519" s="304">
        <f t="shared" si="58"/>
        <v>466</v>
      </c>
      <c r="L519" s="195"/>
    </row>
    <row r="520" spans="1:12" customFormat="1" outlineLevel="2" x14ac:dyDescent="0.2">
      <c r="A520" s="214" t="s">
        <v>3468</v>
      </c>
      <c r="B520" s="145" t="s">
        <v>1846</v>
      </c>
      <c r="C520" s="213" t="s">
        <v>487</v>
      </c>
      <c r="D520" s="118">
        <f t="shared" si="55"/>
        <v>763.33333333333326</v>
      </c>
      <c r="E520" s="118">
        <f t="shared" si="59"/>
        <v>152.66666666666669</v>
      </c>
      <c r="F520" s="118">
        <f t="shared" si="56"/>
        <v>916</v>
      </c>
      <c r="G520" s="118">
        <v>845</v>
      </c>
      <c r="H520" s="304">
        <f t="shared" si="57"/>
        <v>915.98</v>
      </c>
      <c r="I520" s="304">
        <f t="shared" si="58"/>
        <v>916</v>
      </c>
      <c r="L520" s="195"/>
    </row>
    <row r="521" spans="1:12" customFormat="1" outlineLevel="1" x14ac:dyDescent="0.2">
      <c r="A521" s="25" t="s">
        <v>2403</v>
      </c>
      <c r="B521" s="145" t="s">
        <v>1852</v>
      </c>
      <c r="C521" s="201" t="s">
        <v>640</v>
      </c>
      <c r="D521" s="118">
        <f t="shared" si="55"/>
        <v>469.16666666666663</v>
      </c>
      <c r="E521" s="118">
        <f t="shared" si="59"/>
        <v>93.833333333333343</v>
      </c>
      <c r="F521" s="118">
        <f t="shared" si="56"/>
        <v>563</v>
      </c>
      <c r="G521" s="123">
        <v>519</v>
      </c>
      <c r="H521" s="304">
        <f t="shared" si="57"/>
        <v>562.596</v>
      </c>
      <c r="I521" s="304">
        <f t="shared" si="58"/>
        <v>563</v>
      </c>
      <c r="L521" s="195"/>
    </row>
    <row r="522" spans="1:12" customFormat="1" outlineLevel="1" x14ac:dyDescent="0.2">
      <c r="A522" s="25" t="s">
        <v>2404</v>
      </c>
      <c r="B522" s="145" t="s">
        <v>1853</v>
      </c>
      <c r="C522" s="201"/>
      <c r="D522" s="118"/>
      <c r="E522" s="118"/>
      <c r="F522" s="118"/>
      <c r="G522" s="123"/>
      <c r="H522" s="304">
        <f t="shared" si="57"/>
        <v>0</v>
      </c>
      <c r="I522" s="304">
        <f t="shared" si="58"/>
        <v>0</v>
      </c>
      <c r="L522" s="195"/>
    </row>
    <row r="523" spans="1:12" customFormat="1" outlineLevel="2" x14ac:dyDescent="0.2">
      <c r="A523" s="214" t="s">
        <v>3469</v>
      </c>
      <c r="B523" s="145" t="s">
        <v>1854</v>
      </c>
      <c r="C523" s="213" t="s">
        <v>543</v>
      </c>
      <c r="D523" s="118">
        <f t="shared" si="55"/>
        <v>280.83333333333331</v>
      </c>
      <c r="E523" s="118">
        <f t="shared" si="59"/>
        <v>56.166666666666679</v>
      </c>
      <c r="F523" s="118">
        <f t="shared" si="56"/>
        <v>337</v>
      </c>
      <c r="G523" s="123">
        <v>311</v>
      </c>
      <c r="H523" s="304">
        <f t="shared" si="57"/>
        <v>337.12400000000002</v>
      </c>
      <c r="I523" s="304">
        <f t="shared" si="58"/>
        <v>337</v>
      </c>
      <c r="L523" s="195"/>
    </row>
    <row r="524" spans="1:12" customFormat="1" outlineLevel="2" x14ac:dyDescent="0.2">
      <c r="A524" s="214" t="s">
        <v>3470</v>
      </c>
      <c r="B524" s="145" t="s">
        <v>1855</v>
      </c>
      <c r="C524" s="213" t="s">
        <v>543</v>
      </c>
      <c r="D524" s="118">
        <f t="shared" si="55"/>
        <v>702.5</v>
      </c>
      <c r="E524" s="118">
        <f t="shared" si="59"/>
        <v>140.5</v>
      </c>
      <c r="F524" s="118">
        <f t="shared" si="56"/>
        <v>843</v>
      </c>
      <c r="G524" s="123">
        <v>778</v>
      </c>
      <c r="H524" s="304">
        <f t="shared" si="57"/>
        <v>843.35200000000009</v>
      </c>
      <c r="I524" s="304">
        <f t="shared" si="58"/>
        <v>843</v>
      </c>
      <c r="L524" s="195"/>
    </row>
    <row r="525" spans="1:12" customFormat="1" outlineLevel="1" x14ac:dyDescent="0.2">
      <c r="A525" s="25" t="s">
        <v>2405</v>
      </c>
      <c r="B525" s="145" t="s">
        <v>1883</v>
      </c>
      <c r="C525" s="203" t="s">
        <v>543</v>
      </c>
      <c r="D525" s="118">
        <f t="shared" si="55"/>
        <v>3165.833333333333</v>
      </c>
      <c r="E525" s="118">
        <f t="shared" si="59"/>
        <v>633.16666666666674</v>
      </c>
      <c r="F525" s="118">
        <f t="shared" si="56"/>
        <v>3799</v>
      </c>
      <c r="G525" s="123">
        <v>3505</v>
      </c>
      <c r="H525" s="304">
        <f t="shared" si="57"/>
        <v>3799.42</v>
      </c>
      <c r="I525" s="304">
        <f t="shared" si="58"/>
        <v>3799</v>
      </c>
      <c r="L525" s="195"/>
    </row>
    <row r="526" spans="1:12" customFormat="1" outlineLevel="1" x14ac:dyDescent="0.2">
      <c r="A526" s="25" t="s">
        <v>2406</v>
      </c>
      <c r="B526" s="145" t="s">
        <v>1884</v>
      </c>
      <c r="C526" s="213"/>
      <c r="D526" s="118"/>
      <c r="E526" s="118"/>
      <c r="F526" s="118"/>
      <c r="G526" s="123"/>
      <c r="H526" s="304">
        <f t="shared" si="57"/>
        <v>0</v>
      </c>
      <c r="I526" s="304">
        <f t="shared" si="58"/>
        <v>0</v>
      </c>
      <c r="L526" s="195"/>
    </row>
    <row r="527" spans="1:12" customFormat="1" outlineLevel="2" x14ac:dyDescent="0.2">
      <c r="A527" s="214" t="s">
        <v>2481</v>
      </c>
      <c r="B527" s="145" t="s">
        <v>1885</v>
      </c>
      <c r="C527" s="213" t="s">
        <v>543</v>
      </c>
      <c r="D527" s="118">
        <f t="shared" si="55"/>
        <v>1358.3333333333333</v>
      </c>
      <c r="E527" s="118">
        <f t="shared" si="59"/>
        <v>271.66666666666669</v>
      </c>
      <c r="F527" s="118">
        <f t="shared" si="56"/>
        <v>1630</v>
      </c>
      <c r="G527" s="123">
        <v>1504</v>
      </c>
      <c r="H527" s="304">
        <f t="shared" si="57"/>
        <v>1630.336</v>
      </c>
      <c r="I527" s="304">
        <f t="shared" si="58"/>
        <v>1630</v>
      </c>
      <c r="L527" s="195"/>
    </row>
    <row r="528" spans="1:12" customFormat="1" outlineLevel="2" x14ac:dyDescent="0.2">
      <c r="A528" s="214" t="s">
        <v>2482</v>
      </c>
      <c r="B528" s="145" t="s">
        <v>1886</v>
      </c>
      <c r="C528" s="213" t="s">
        <v>543</v>
      </c>
      <c r="D528" s="118">
        <f t="shared" si="55"/>
        <v>2463.333333333333</v>
      </c>
      <c r="E528" s="118">
        <f t="shared" si="59"/>
        <v>492.66666666666674</v>
      </c>
      <c r="F528" s="118">
        <f t="shared" si="56"/>
        <v>2956</v>
      </c>
      <c r="G528" s="123">
        <v>2727</v>
      </c>
      <c r="H528" s="304">
        <f t="shared" si="57"/>
        <v>2956.0680000000002</v>
      </c>
      <c r="I528" s="304">
        <f t="shared" si="58"/>
        <v>2956</v>
      </c>
      <c r="L528" s="195"/>
    </row>
    <row r="529" spans="1:12" customFormat="1" outlineLevel="1" x14ac:dyDescent="0.2">
      <c r="A529" s="25" t="s">
        <v>2407</v>
      </c>
      <c r="B529" s="145" t="s">
        <v>1887</v>
      </c>
      <c r="C529" s="213"/>
      <c r="D529" s="118"/>
      <c r="E529" s="118"/>
      <c r="F529" s="118"/>
      <c r="G529" s="123"/>
      <c r="H529" s="304">
        <f t="shared" si="57"/>
        <v>0</v>
      </c>
      <c r="I529" s="304">
        <f t="shared" si="58"/>
        <v>0</v>
      </c>
      <c r="L529" s="195"/>
    </row>
    <row r="530" spans="1:12" customFormat="1" outlineLevel="2" x14ac:dyDescent="0.2">
      <c r="A530" s="214" t="s">
        <v>2483</v>
      </c>
      <c r="B530" s="145" t="s">
        <v>1888</v>
      </c>
      <c r="C530" s="203" t="s">
        <v>543</v>
      </c>
      <c r="D530" s="118">
        <f t="shared" si="55"/>
        <v>2857.5</v>
      </c>
      <c r="E530" s="118">
        <f t="shared" si="59"/>
        <v>571.5</v>
      </c>
      <c r="F530" s="118">
        <f t="shared" si="56"/>
        <v>3429</v>
      </c>
      <c r="G530" s="123">
        <v>3163</v>
      </c>
      <c r="H530" s="304">
        <f t="shared" si="57"/>
        <v>3428.6920000000005</v>
      </c>
      <c r="I530" s="304">
        <f t="shared" si="58"/>
        <v>3429</v>
      </c>
      <c r="L530" s="195"/>
    </row>
    <row r="531" spans="1:12" customFormat="1" outlineLevel="2" x14ac:dyDescent="0.2">
      <c r="A531" s="214" t="s">
        <v>2484</v>
      </c>
      <c r="B531" s="145" t="s">
        <v>1889</v>
      </c>
      <c r="C531" s="203" t="s">
        <v>543</v>
      </c>
      <c r="D531" s="118">
        <f t="shared" si="55"/>
        <v>3605.833333333333</v>
      </c>
      <c r="E531" s="118">
        <f t="shared" si="59"/>
        <v>721.16666666666674</v>
      </c>
      <c r="F531" s="118">
        <f t="shared" si="56"/>
        <v>4327</v>
      </c>
      <c r="G531" s="123">
        <v>3992</v>
      </c>
      <c r="H531" s="304">
        <f t="shared" si="57"/>
        <v>4327.3280000000004</v>
      </c>
      <c r="I531" s="304">
        <f t="shared" si="58"/>
        <v>4327</v>
      </c>
      <c r="L531" s="195"/>
    </row>
    <row r="532" spans="1:12" customFormat="1" outlineLevel="1" x14ac:dyDescent="0.2">
      <c r="A532" s="25" t="s">
        <v>2408</v>
      </c>
      <c r="B532" s="145" t="s">
        <v>1890</v>
      </c>
      <c r="C532" s="204" t="s">
        <v>487</v>
      </c>
      <c r="D532" s="118">
        <f t="shared" si="55"/>
        <v>6051.6666666666661</v>
      </c>
      <c r="E532" s="118">
        <f t="shared" si="59"/>
        <v>1210.3333333333335</v>
      </c>
      <c r="F532" s="118">
        <f t="shared" si="56"/>
        <v>7262</v>
      </c>
      <c r="G532" s="123">
        <v>6699</v>
      </c>
      <c r="H532" s="304">
        <f t="shared" si="57"/>
        <v>7261.7160000000003</v>
      </c>
      <c r="I532" s="304">
        <f t="shared" si="58"/>
        <v>7262</v>
      </c>
      <c r="L532" s="195"/>
    </row>
    <row r="533" spans="1:12" customFormat="1" outlineLevel="1" x14ac:dyDescent="0.2">
      <c r="A533" s="25" t="s">
        <v>2409</v>
      </c>
      <c r="B533" s="145" t="s">
        <v>1891</v>
      </c>
      <c r="C533" s="204"/>
      <c r="D533" s="118"/>
      <c r="E533" s="118"/>
      <c r="F533" s="118"/>
      <c r="G533" s="123"/>
      <c r="H533" s="304">
        <f t="shared" si="57"/>
        <v>0</v>
      </c>
      <c r="I533" s="304">
        <f t="shared" si="58"/>
        <v>0</v>
      </c>
      <c r="L533" s="195"/>
    </row>
    <row r="534" spans="1:12" customFormat="1" outlineLevel="2" x14ac:dyDescent="0.2">
      <c r="A534" s="214" t="s">
        <v>2485</v>
      </c>
      <c r="B534" s="145" t="s">
        <v>1892</v>
      </c>
      <c r="C534" s="204" t="s">
        <v>487</v>
      </c>
      <c r="D534" s="118">
        <f t="shared" si="55"/>
        <v>2383.333333333333</v>
      </c>
      <c r="E534" s="118">
        <f t="shared" si="59"/>
        <v>476.66666666666674</v>
      </c>
      <c r="F534" s="118">
        <v>2860</v>
      </c>
      <c r="G534" s="123">
        <v>2022</v>
      </c>
      <c r="H534" s="304">
        <f t="shared" si="57"/>
        <v>2191.848</v>
      </c>
      <c r="I534" s="304">
        <f t="shared" si="58"/>
        <v>2192</v>
      </c>
      <c r="L534" s="195"/>
    </row>
    <row r="535" spans="1:12" customFormat="1" outlineLevel="2" x14ac:dyDescent="0.2">
      <c r="A535" s="214" t="s">
        <v>2486</v>
      </c>
      <c r="B535" s="145" t="s">
        <v>1893</v>
      </c>
      <c r="C535" s="204" t="s">
        <v>487</v>
      </c>
      <c r="D535" s="118">
        <f t="shared" si="55"/>
        <v>3325</v>
      </c>
      <c r="E535" s="118">
        <f t="shared" si="59"/>
        <v>665</v>
      </c>
      <c r="F535" s="118">
        <v>3990</v>
      </c>
      <c r="G535" s="123">
        <v>3023</v>
      </c>
      <c r="H535" s="304">
        <f t="shared" si="57"/>
        <v>3276.9320000000002</v>
      </c>
      <c r="I535" s="304">
        <f t="shared" si="58"/>
        <v>3277</v>
      </c>
      <c r="L535" s="195"/>
    </row>
    <row r="536" spans="1:12" customFormat="1" outlineLevel="2" x14ac:dyDescent="0.2">
      <c r="A536" s="214" t="s">
        <v>3471</v>
      </c>
      <c r="B536" s="145" t="s">
        <v>1894</v>
      </c>
      <c r="C536" s="204" t="s">
        <v>487</v>
      </c>
      <c r="D536" s="118">
        <f t="shared" si="55"/>
        <v>4275</v>
      </c>
      <c r="E536" s="118">
        <f t="shared" si="59"/>
        <v>855</v>
      </c>
      <c r="F536" s="118">
        <v>5130</v>
      </c>
      <c r="G536" s="123">
        <v>4024</v>
      </c>
      <c r="H536" s="304">
        <f t="shared" si="57"/>
        <v>4362.0160000000005</v>
      </c>
      <c r="I536" s="304">
        <f t="shared" si="58"/>
        <v>4362</v>
      </c>
      <c r="L536" s="195"/>
    </row>
    <row r="537" spans="1:12" customFormat="1" outlineLevel="1" x14ac:dyDescent="0.2">
      <c r="A537" s="25" t="s">
        <v>2410</v>
      </c>
      <c r="B537" s="145" t="s">
        <v>3056</v>
      </c>
      <c r="C537" s="222"/>
      <c r="D537" s="118"/>
      <c r="E537" s="118"/>
      <c r="F537" s="118"/>
      <c r="G537" s="123"/>
      <c r="H537" s="304">
        <f t="shared" si="57"/>
        <v>0</v>
      </c>
      <c r="I537" s="304">
        <f t="shared" si="58"/>
        <v>0</v>
      </c>
      <c r="L537" s="195"/>
    </row>
    <row r="538" spans="1:12" customFormat="1" outlineLevel="2" x14ac:dyDescent="0.2">
      <c r="A538" s="214" t="s">
        <v>3472</v>
      </c>
      <c r="B538" s="145" t="s">
        <v>988</v>
      </c>
      <c r="C538" s="222" t="s">
        <v>700</v>
      </c>
      <c r="D538" s="118">
        <f t="shared" si="55"/>
        <v>3613.333333333333</v>
      </c>
      <c r="E538" s="118">
        <f t="shared" si="59"/>
        <v>722.66666666666674</v>
      </c>
      <c r="F538" s="118">
        <f t="shared" si="56"/>
        <v>4336</v>
      </c>
      <c r="G538" s="123">
        <v>4000</v>
      </c>
      <c r="H538" s="304">
        <f t="shared" si="57"/>
        <v>4336</v>
      </c>
      <c r="I538" s="304">
        <f t="shared" si="58"/>
        <v>4336</v>
      </c>
      <c r="L538" s="195"/>
    </row>
    <row r="539" spans="1:12" customFormat="1" outlineLevel="2" x14ac:dyDescent="0.2">
      <c r="A539" s="214" t="s">
        <v>3473</v>
      </c>
      <c r="B539" s="145" t="s">
        <v>1886</v>
      </c>
      <c r="C539" s="222" t="s">
        <v>700</v>
      </c>
      <c r="D539" s="118">
        <f t="shared" si="55"/>
        <v>4155</v>
      </c>
      <c r="E539" s="118">
        <f t="shared" si="59"/>
        <v>831</v>
      </c>
      <c r="F539" s="118">
        <f t="shared" si="56"/>
        <v>4986</v>
      </c>
      <c r="G539" s="123">
        <v>4600</v>
      </c>
      <c r="H539" s="304">
        <f t="shared" si="57"/>
        <v>4986.4000000000005</v>
      </c>
      <c r="I539" s="304">
        <f t="shared" si="58"/>
        <v>4986</v>
      </c>
      <c r="L539" s="195"/>
    </row>
    <row r="540" spans="1:12" customFormat="1" outlineLevel="1" x14ac:dyDescent="0.2">
      <c r="A540" s="25" t="s">
        <v>2411</v>
      </c>
      <c r="B540" s="145" t="s">
        <v>3132</v>
      </c>
      <c r="C540" s="232"/>
      <c r="D540" s="118"/>
      <c r="E540" s="118"/>
      <c r="F540" s="118"/>
      <c r="G540" s="123"/>
      <c r="H540" s="304">
        <f t="shared" si="57"/>
        <v>0</v>
      </c>
      <c r="I540" s="304">
        <f t="shared" si="58"/>
        <v>0</v>
      </c>
      <c r="L540" s="195"/>
    </row>
    <row r="541" spans="1:12" customFormat="1" outlineLevel="2" x14ac:dyDescent="0.2">
      <c r="A541" s="214" t="s">
        <v>2487</v>
      </c>
      <c r="B541" s="145" t="s">
        <v>644</v>
      </c>
      <c r="C541" s="232" t="s">
        <v>487</v>
      </c>
      <c r="D541" s="118">
        <f t="shared" si="55"/>
        <v>2935.833333333333</v>
      </c>
      <c r="E541" s="118">
        <f t="shared" si="59"/>
        <v>587.16666666666674</v>
      </c>
      <c r="F541" s="118">
        <f t="shared" si="56"/>
        <v>3523</v>
      </c>
      <c r="G541" s="123">
        <v>3250</v>
      </c>
      <c r="H541" s="304">
        <f t="shared" si="57"/>
        <v>3523.0000000000005</v>
      </c>
      <c r="I541" s="304">
        <f t="shared" si="58"/>
        <v>3523</v>
      </c>
      <c r="L541" s="195"/>
    </row>
    <row r="542" spans="1:12" customFormat="1" outlineLevel="2" x14ac:dyDescent="0.2">
      <c r="A542" s="214" t="s">
        <v>2488</v>
      </c>
      <c r="B542" s="145" t="s">
        <v>645</v>
      </c>
      <c r="C542" s="232" t="s">
        <v>487</v>
      </c>
      <c r="D542" s="118">
        <f t="shared" si="55"/>
        <v>4855.833333333333</v>
      </c>
      <c r="E542" s="118">
        <f t="shared" si="59"/>
        <v>971.16666666666686</v>
      </c>
      <c r="F542" s="118">
        <f t="shared" si="56"/>
        <v>5827</v>
      </c>
      <c r="G542" s="123">
        <v>5375</v>
      </c>
      <c r="H542" s="304">
        <f t="shared" si="57"/>
        <v>5826.5</v>
      </c>
      <c r="I542" s="304">
        <f t="shared" si="58"/>
        <v>5827</v>
      </c>
      <c r="L542" s="195"/>
    </row>
    <row r="543" spans="1:12" customFormat="1" outlineLevel="1" x14ac:dyDescent="0.2">
      <c r="A543" s="25" t="s">
        <v>2412</v>
      </c>
      <c r="B543" s="145" t="s">
        <v>3145</v>
      </c>
      <c r="C543" s="232"/>
      <c r="D543" s="118"/>
      <c r="E543" s="118"/>
      <c r="F543" s="118"/>
      <c r="G543" s="123"/>
      <c r="H543" s="304">
        <f t="shared" si="57"/>
        <v>0</v>
      </c>
      <c r="I543" s="304">
        <f t="shared" si="58"/>
        <v>0</v>
      </c>
      <c r="L543" s="195"/>
    </row>
    <row r="544" spans="1:12" customFormat="1" outlineLevel="2" x14ac:dyDescent="0.2">
      <c r="A544" s="214" t="s">
        <v>2489</v>
      </c>
      <c r="B544" s="145" t="s">
        <v>988</v>
      </c>
      <c r="C544" s="232" t="s">
        <v>487</v>
      </c>
      <c r="D544" s="118">
        <f t="shared" si="55"/>
        <v>1874.1666666666665</v>
      </c>
      <c r="E544" s="118">
        <f t="shared" si="59"/>
        <v>374.83333333333337</v>
      </c>
      <c r="F544" s="118">
        <f t="shared" si="56"/>
        <v>2249</v>
      </c>
      <c r="G544" s="123">
        <v>2075</v>
      </c>
      <c r="H544" s="304">
        <f t="shared" si="57"/>
        <v>2249.3000000000002</v>
      </c>
      <c r="I544" s="304">
        <f t="shared" si="58"/>
        <v>2249</v>
      </c>
      <c r="L544" s="195"/>
    </row>
    <row r="545" spans="1:12" customFormat="1" outlineLevel="2" x14ac:dyDescent="0.2">
      <c r="A545" s="214" t="s">
        <v>2490</v>
      </c>
      <c r="B545" s="244" t="s">
        <v>3146</v>
      </c>
      <c r="C545" s="233" t="s">
        <v>487</v>
      </c>
      <c r="D545" s="118">
        <f t="shared" si="55"/>
        <v>2800</v>
      </c>
      <c r="E545" s="118">
        <f t="shared" si="59"/>
        <v>560</v>
      </c>
      <c r="F545" s="118">
        <f t="shared" si="56"/>
        <v>3360</v>
      </c>
      <c r="G545" s="136">
        <v>3100</v>
      </c>
      <c r="H545" s="304">
        <f t="shared" si="57"/>
        <v>3360.4</v>
      </c>
      <c r="I545" s="304">
        <f t="shared" si="58"/>
        <v>3360</v>
      </c>
      <c r="L545" s="195"/>
    </row>
    <row r="546" spans="1:12" customFormat="1" outlineLevel="2" x14ac:dyDescent="0.2">
      <c r="A546" s="253" t="s">
        <v>2413</v>
      </c>
      <c r="B546" s="244" t="s">
        <v>3289</v>
      </c>
      <c r="C546" s="333"/>
      <c r="D546" s="118"/>
      <c r="E546" s="118"/>
      <c r="F546" s="118"/>
      <c r="G546" s="136"/>
      <c r="H546" s="304"/>
      <c r="I546" s="304"/>
      <c r="L546" s="195"/>
    </row>
    <row r="547" spans="1:12" customFormat="1" outlineLevel="2" x14ac:dyDescent="0.2">
      <c r="A547" s="214" t="s">
        <v>3474</v>
      </c>
      <c r="B547" s="336" t="s">
        <v>3290</v>
      </c>
      <c r="C547" s="333" t="s">
        <v>700</v>
      </c>
      <c r="D547" s="118">
        <f t="shared" ref="D547:D549" si="60">F547-E547</f>
        <v>1325</v>
      </c>
      <c r="E547" s="118">
        <f t="shared" ref="E547:E549" si="61">F547/1.2*0.2</f>
        <v>265</v>
      </c>
      <c r="F547" s="118">
        <v>1590</v>
      </c>
      <c r="G547" s="136"/>
      <c r="H547" s="304"/>
      <c r="I547" s="304"/>
      <c r="L547" s="195"/>
    </row>
    <row r="548" spans="1:12" customFormat="1" outlineLevel="2" x14ac:dyDescent="0.2">
      <c r="A548" s="214" t="s">
        <v>3475</v>
      </c>
      <c r="B548" s="336" t="s">
        <v>3291</v>
      </c>
      <c r="C548" s="333" t="s">
        <v>700</v>
      </c>
      <c r="D548" s="118">
        <f t="shared" si="60"/>
        <v>1750</v>
      </c>
      <c r="E548" s="118">
        <f t="shared" si="61"/>
        <v>350</v>
      </c>
      <c r="F548" s="118">
        <v>2100</v>
      </c>
      <c r="G548" s="136"/>
      <c r="H548" s="304"/>
      <c r="I548" s="304"/>
      <c r="L548" s="195"/>
    </row>
    <row r="549" spans="1:12" customFormat="1" outlineLevel="2" x14ac:dyDescent="0.2">
      <c r="A549" s="214" t="s">
        <v>3476</v>
      </c>
      <c r="B549" s="336" t="s">
        <v>3292</v>
      </c>
      <c r="C549" s="333" t="s">
        <v>700</v>
      </c>
      <c r="D549" s="118">
        <f t="shared" si="60"/>
        <v>2141.6666666666665</v>
      </c>
      <c r="E549" s="118">
        <f t="shared" si="61"/>
        <v>428.33333333333343</v>
      </c>
      <c r="F549" s="118">
        <v>2570</v>
      </c>
      <c r="G549" s="136"/>
      <c r="H549" s="304"/>
      <c r="I549" s="304"/>
      <c r="L549" s="195"/>
    </row>
    <row r="550" spans="1:12" customFormat="1" outlineLevel="2" x14ac:dyDescent="0.2">
      <c r="A550" s="253" t="s">
        <v>2414</v>
      </c>
      <c r="B550" s="336" t="s">
        <v>3293</v>
      </c>
      <c r="C550" s="333" t="s">
        <v>700</v>
      </c>
      <c r="D550" s="118">
        <f t="shared" ref="D550" si="62">F550-E550</f>
        <v>991.66666666666663</v>
      </c>
      <c r="E550" s="118">
        <f t="shared" ref="E550" si="63">F550/1.2*0.2</f>
        <v>198.33333333333337</v>
      </c>
      <c r="F550" s="118">
        <v>1190</v>
      </c>
      <c r="G550" s="136"/>
      <c r="H550" s="304"/>
      <c r="I550" s="304"/>
      <c r="L550" s="195"/>
    </row>
    <row r="551" spans="1:12" customFormat="1" outlineLevel="2" x14ac:dyDescent="0.2">
      <c r="A551" s="253" t="s">
        <v>3055</v>
      </c>
      <c r="B551" s="336" t="s">
        <v>3294</v>
      </c>
      <c r="C551" s="333" t="s">
        <v>700</v>
      </c>
      <c r="D551" s="118">
        <f t="shared" ref="D551" si="64">F551-E551</f>
        <v>3400</v>
      </c>
      <c r="E551" s="118">
        <f t="shared" ref="E551" si="65">F551/1.2*0.2</f>
        <v>680</v>
      </c>
      <c r="F551" s="118">
        <v>4080</v>
      </c>
      <c r="G551" s="136"/>
      <c r="H551" s="304"/>
      <c r="I551" s="304"/>
      <c r="L551" s="195"/>
    </row>
    <row r="552" spans="1:12" customFormat="1" outlineLevel="2" x14ac:dyDescent="0.2">
      <c r="A552" s="253" t="s">
        <v>3129</v>
      </c>
      <c r="B552" s="336" t="s">
        <v>3302</v>
      </c>
      <c r="C552" s="334"/>
      <c r="D552" s="118"/>
      <c r="E552" s="118"/>
      <c r="F552" s="118"/>
      <c r="G552" s="136"/>
      <c r="H552" s="304"/>
      <c r="I552" s="304"/>
      <c r="L552" s="195"/>
    </row>
    <row r="553" spans="1:12" customFormat="1" outlineLevel="2" x14ac:dyDescent="0.2">
      <c r="A553" s="214" t="s">
        <v>3130</v>
      </c>
      <c r="B553" s="336" t="s">
        <v>3301</v>
      </c>
      <c r="C553" s="334" t="s">
        <v>700</v>
      </c>
      <c r="D553" s="118">
        <f t="shared" ref="D553:D554" si="66">F553-E553</f>
        <v>4875</v>
      </c>
      <c r="E553" s="118">
        <f t="shared" ref="E553:E554" si="67">F553/1.2*0.2</f>
        <v>975</v>
      </c>
      <c r="F553" s="118">
        <v>5850</v>
      </c>
      <c r="G553" s="136"/>
      <c r="H553" s="304"/>
      <c r="I553" s="304"/>
      <c r="L553" s="195"/>
    </row>
    <row r="554" spans="1:12" customFormat="1" outlineLevel="2" x14ac:dyDescent="0.2">
      <c r="A554" s="214" t="s">
        <v>3131</v>
      </c>
      <c r="B554" s="336" t="s">
        <v>3300</v>
      </c>
      <c r="C554" s="334" t="s">
        <v>700</v>
      </c>
      <c r="D554" s="118">
        <f t="shared" si="66"/>
        <v>5433.333333333333</v>
      </c>
      <c r="E554" s="118">
        <f t="shared" si="67"/>
        <v>1086.6666666666667</v>
      </c>
      <c r="F554" s="118">
        <v>6520</v>
      </c>
      <c r="G554" s="136"/>
      <c r="H554" s="304"/>
      <c r="I554" s="304"/>
      <c r="L554" s="195"/>
    </row>
    <row r="555" spans="1:12" customFormat="1" outlineLevel="2" x14ac:dyDescent="0.2">
      <c r="A555" s="253" t="s">
        <v>3133</v>
      </c>
      <c r="B555" s="336" t="s">
        <v>3303</v>
      </c>
      <c r="C555" s="334"/>
      <c r="D555" s="118"/>
      <c r="E555" s="118"/>
      <c r="F555" s="118"/>
      <c r="G555" s="136"/>
      <c r="H555" s="304"/>
      <c r="I555" s="304"/>
      <c r="L555" s="195"/>
    </row>
    <row r="556" spans="1:12" customFormat="1" outlineLevel="2" x14ac:dyDescent="0.2">
      <c r="A556" s="214" t="s">
        <v>3134</v>
      </c>
      <c r="B556" s="336" t="s">
        <v>3304</v>
      </c>
      <c r="C556" s="334" t="s">
        <v>700</v>
      </c>
      <c r="D556" s="118">
        <f t="shared" ref="D556:D558" si="68">F556-E556</f>
        <v>2887.5</v>
      </c>
      <c r="E556" s="118">
        <f t="shared" ref="E556:E558" si="69">F556/1.2*0.2</f>
        <v>577.5</v>
      </c>
      <c r="F556" s="118">
        <v>3465</v>
      </c>
      <c r="G556" s="136"/>
      <c r="H556" s="304"/>
      <c r="I556" s="304"/>
      <c r="L556" s="195"/>
    </row>
    <row r="557" spans="1:12" customFormat="1" outlineLevel="2" x14ac:dyDescent="0.2">
      <c r="A557" s="214" t="s">
        <v>3135</v>
      </c>
      <c r="B557" s="336" t="s">
        <v>3305</v>
      </c>
      <c r="C557" s="334" t="s">
        <v>700</v>
      </c>
      <c r="D557" s="118">
        <f t="shared" si="68"/>
        <v>3858.333333333333</v>
      </c>
      <c r="E557" s="118">
        <f t="shared" si="69"/>
        <v>771.66666666666674</v>
      </c>
      <c r="F557" s="118">
        <v>4630</v>
      </c>
      <c r="G557" s="136"/>
      <c r="H557" s="304"/>
      <c r="I557" s="304"/>
      <c r="L557" s="195"/>
    </row>
    <row r="558" spans="1:12" customFormat="1" outlineLevel="2" x14ac:dyDescent="0.2">
      <c r="A558" s="214" t="s">
        <v>3136</v>
      </c>
      <c r="B558" s="336" t="s">
        <v>3306</v>
      </c>
      <c r="C558" s="334" t="s">
        <v>700</v>
      </c>
      <c r="D558" s="118">
        <f t="shared" si="68"/>
        <v>4808.333333333333</v>
      </c>
      <c r="E558" s="118">
        <f t="shared" si="69"/>
        <v>961.66666666666686</v>
      </c>
      <c r="F558" s="118">
        <v>5770</v>
      </c>
      <c r="G558" s="136"/>
      <c r="H558" s="304"/>
      <c r="I558" s="304"/>
      <c r="L558" s="195"/>
    </row>
    <row r="559" spans="1:12" customFormat="1" ht="18" customHeight="1" outlineLevel="1" x14ac:dyDescent="0.2">
      <c r="A559" s="253" t="s">
        <v>3137</v>
      </c>
      <c r="B559" s="256" t="s">
        <v>3181</v>
      </c>
      <c r="C559" s="251"/>
      <c r="D559" s="118"/>
      <c r="E559" s="118"/>
      <c r="F559" s="118"/>
      <c r="G559" s="254"/>
      <c r="H559" s="304">
        <f t="shared" si="57"/>
        <v>0</v>
      </c>
      <c r="I559" s="304">
        <f t="shared" si="58"/>
        <v>0</v>
      </c>
      <c r="K559" t="s">
        <v>3194</v>
      </c>
      <c r="L559" s="195"/>
    </row>
    <row r="560" spans="1:12" customFormat="1" outlineLevel="2" x14ac:dyDescent="0.2">
      <c r="A560" s="251" t="s">
        <v>3138</v>
      </c>
      <c r="B560" s="256" t="s">
        <v>3183</v>
      </c>
      <c r="C560" s="251" t="s">
        <v>487</v>
      </c>
      <c r="D560" s="118">
        <f t="shared" si="55"/>
        <v>11743.333333333332</v>
      </c>
      <c r="E560" s="118">
        <f t="shared" si="59"/>
        <v>2348.666666666667</v>
      </c>
      <c r="F560" s="118">
        <f t="shared" si="56"/>
        <v>14092</v>
      </c>
      <c r="G560" s="257">
        <v>13000</v>
      </c>
      <c r="H560" s="304">
        <f t="shared" si="57"/>
        <v>14092.000000000002</v>
      </c>
      <c r="I560" s="304">
        <f t="shared" si="58"/>
        <v>14092</v>
      </c>
      <c r="L560" s="195"/>
    </row>
    <row r="561" spans="1:12" customFormat="1" outlineLevel="2" x14ac:dyDescent="0.2">
      <c r="A561" s="251" t="s">
        <v>3139</v>
      </c>
      <c r="B561" s="256" t="s">
        <v>3185</v>
      </c>
      <c r="C561" s="251" t="s">
        <v>487</v>
      </c>
      <c r="D561" s="118">
        <f t="shared" si="55"/>
        <v>15356.666666666666</v>
      </c>
      <c r="E561" s="118">
        <f t="shared" si="59"/>
        <v>3071.3333333333339</v>
      </c>
      <c r="F561" s="118">
        <f t="shared" si="56"/>
        <v>18428</v>
      </c>
      <c r="G561" s="257">
        <v>17000</v>
      </c>
      <c r="H561" s="304">
        <f t="shared" si="57"/>
        <v>18428</v>
      </c>
      <c r="I561" s="304">
        <f t="shared" si="58"/>
        <v>18428</v>
      </c>
      <c r="L561" s="195"/>
    </row>
    <row r="562" spans="1:12" customFormat="1" outlineLevel="2" x14ac:dyDescent="0.2">
      <c r="A562" s="251" t="s">
        <v>3477</v>
      </c>
      <c r="B562" s="256" t="s">
        <v>3187</v>
      </c>
      <c r="C562" s="251" t="s">
        <v>487</v>
      </c>
      <c r="D562" s="118">
        <f t="shared" si="55"/>
        <v>18066.666666666664</v>
      </c>
      <c r="E562" s="118">
        <f t="shared" si="59"/>
        <v>3613.3333333333339</v>
      </c>
      <c r="F562" s="118">
        <f t="shared" si="56"/>
        <v>21680</v>
      </c>
      <c r="G562" s="257">
        <v>20000</v>
      </c>
      <c r="H562" s="304">
        <f t="shared" si="57"/>
        <v>21680</v>
      </c>
      <c r="I562" s="304">
        <f t="shared" si="58"/>
        <v>21680</v>
      </c>
      <c r="L562" s="195"/>
    </row>
    <row r="563" spans="1:12" customFormat="1" outlineLevel="1" x14ac:dyDescent="0.2">
      <c r="A563" s="253" t="s">
        <v>3192</v>
      </c>
      <c r="B563" s="256" t="s">
        <v>3188</v>
      </c>
      <c r="C563" s="251"/>
      <c r="D563" s="118"/>
      <c r="E563" s="118"/>
      <c r="F563" s="118"/>
      <c r="G563" s="257"/>
      <c r="H563" s="304">
        <f t="shared" si="57"/>
        <v>0</v>
      </c>
      <c r="I563" s="304">
        <f t="shared" si="58"/>
        <v>0</v>
      </c>
      <c r="L563" s="195"/>
    </row>
    <row r="564" spans="1:12" customFormat="1" outlineLevel="2" x14ac:dyDescent="0.2">
      <c r="A564" s="251" t="s">
        <v>3182</v>
      </c>
      <c r="B564" s="256" t="s">
        <v>3183</v>
      </c>
      <c r="C564" s="251" t="s">
        <v>487</v>
      </c>
      <c r="D564" s="118">
        <f t="shared" si="55"/>
        <v>11743.333333333332</v>
      </c>
      <c r="E564" s="118">
        <f t="shared" si="59"/>
        <v>2348.666666666667</v>
      </c>
      <c r="F564" s="118">
        <f t="shared" si="56"/>
        <v>14092</v>
      </c>
      <c r="G564" s="257">
        <v>13000</v>
      </c>
      <c r="H564" s="304">
        <f t="shared" si="57"/>
        <v>14092.000000000002</v>
      </c>
      <c r="I564" s="304">
        <f t="shared" si="58"/>
        <v>14092</v>
      </c>
      <c r="L564" s="195"/>
    </row>
    <row r="565" spans="1:12" customFormat="1" outlineLevel="2" x14ac:dyDescent="0.2">
      <c r="A565" s="251" t="s">
        <v>3184</v>
      </c>
      <c r="B565" s="256" t="s">
        <v>3185</v>
      </c>
      <c r="C565" s="251" t="s">
        <v>487</v>
      </c>
      <c r="D565" s="118">
        <f t="shared" si="55"/>
        <v>15356.666666666666</v>
      </c>
      <c r="E565" s="118">
        <f t="shared" si="59"/>
        <v>3071.3333333333339</v>
      </c>
      <c r="F565" s="118">
        <f t="shared" si="56"/>
        <v>18428</v>
      </c>
      <c r="G565" s="257">
        <v>17000</v>
      </c>
      <c r="H565" s="304">
        <f t="shared" si="57"/>
        <v>18428</v>
      </c>
      <c r="I565" s="304">
        <f t="shared" si="58"/>
        <v>18428</v>
      </c>
      <c r="L565" s="195"/>
    </row>
    <row r="566" spans="1:12" customFormat="1" outlineLevel="2" x14ac:dyDescent="0.2">
      <c r="A566" s="251" t="s">
        <v>3186</v>
      </c>
      <c r="B566" s="259" t="s">
        <v>3187</v>
      </c>
      <c r="C566" s="258" t="s">
        <v>487</v>
      </c>
      <c r="D566" s="118">
        <f t="shared" si="55"/>
        <v>18066.666666666664</v>
      </c>
      <c r="E566" s="118">
        <f t="shared" si="59"/>
        <v>3613.3333333333339</v>
      </c>
      <c r="F566" s="118">
        <f t="shared" si="56"/>
        <v>21680</v>
      </c>
      <c r="G566" s="257">
        <v>20000</v>
      </c>
      <c r="H566" s="304">
        <f t="shared" si="57"/>
        <v>21680</v>
      </c>
      <c r="I566" s="304">
        <f t="shared" si="58"/>
        <v>21680</v>
      </c>
      <c r="L566" s="195"/>
    </row>
    <row r="567" spans="1:12" customFormat="1" outlineLevel="1" x14ac:dyDescent="0.25">
      <c r="A567" s="253" t="s">
        <v>3193</v>
      </c>
      <c r="B567" s="260" t="s">
        <v>3196</v>
      </c>
      <c r="C567" s="258"/>
      <c r="D567" s="118"/>
      <c r="E567" s="118"/>
      <c r="F567" s="118"/>
      <c r="G567" s="118"/>
      <c r="H567" s="304">
        <f t="shared" si="57"/>
        <v>0</v>
      </c>
      <c r="I567" s="304">
        <f t="shared" si="58"/>
        <v>0</v>
      </c>
      <c r="L567" s="195"/>
    </row>
    <row r="568" spans="1:12" customFormat="1" outlineLevel="2" x14ac:dyDescent="0.2">
      <c r="A568" s="251" t="s">
        <v>3189</v>
      </c>
      <c r="B568" s="256" t="s">
        <v>3183</v>
      </c>
      <c r="C568" s="258" t="s">
        <v>487</v>
      </c>
      <c r="D568" s="118">
        <f t="shared" si="55"/>
        <v>1147.5</v>
      </c>
      <c r="E568" s="118">
        <f t="shared" si="59"/>
        <v>229.5</v>
      </c>
      <c r="F568" s="118">
        <f t="shared" si="56"/>
        <v>1377</v>
      </c>
      <c r="G568" s="118">
        <v>1270</v>
      </c>
      <c r="H568" s="304">
        <f t="shared" si="57"/>
        <v>1376.68</v>
      </c>
      <c r="I568" s="304">
        <f t="shared" si="58"/>
        <v>1377</v>
      </c>
      <c r="K568" t="s">
        <v>3194</v>
      </c>
      <c r="L568" s="195"/>
    </row>
    <row r="569" spans="1:12" customFormat="1" outlineLevel="2" x14ac:dyDescent="0.2">
      <c r="A569" s="251" t="s">
        <v>3190</v>
      </c>
      <c r="B569" s="256" t="s">
        <v>3185</v>
      </c>
      <c r="C569" s="258" t="s">
        <v>487</v>
      </c>
      <c r="D569" s="118">
        <f t="shared" si="55"/>
        <v>1418.3333333333333</v>
      </c>
      <c r="E569" s="118">
        <f t="shared" si="59"/>
        <v>283.66666666666669</v>
      </c>
      <c r="F569" s="118">
        <f t="shared" si="56"/>
        <v>1702</v>
      </c>
      <c r="G569" s="118">
        <v>1570</v>
      </c>
      <c r="H569" s="304">
        <f t="shared" si="57"/>
        <v>1701.88</v>
      </c>
      <c r="I569" s="304">
        <f t="shared" si="58"/>
        <v>1702</v>
      </c>
      <c r="L569" s="195"/>
    </row>
    <row r="570" spans="1:12" customFormat="1" outlineLevel="2" x14ac:dyDescent="0.2">
      <c r="A570" s="251" t="s">
        <v>3191</v>
      </c>
      <c r="B570" s="256" t="s">
        <v>3187</v>
      </c>
      <c r="C570" s="258" t="s">
        <v>487</v>
      </c>
      <c r="D570" s="118">
        <f t="shared" si="55"/>
        <v>1950.8333333333333</v>
      </c>
      <c r="E570" s="118">
        <f t="shared" si="59"/>
        <v>390.16666666666674</v>
      </c>
      <c r="F570" s="118">
        <f t="shared" si="56"/>
        <v>2341</v>
      </c>
      <c r="G570" s="118">
        <v>2160</v>
      </c>
      <c r="H570" s="304">
        <f t="shared" si="57"/>
        <v>2341.44</v>
      </c>
      <c r="I570" s="304">
        <f t="shared" si="58"/>
        <v>2341</v>
      </c>
      <c r="L570" s="195"/>
    </row>
    <row r="571" spans="1:12" customFormat="1" ht="33.75" customHeight="1" outlineLevel="2" x14ac:dyDescent="0.2">
      <c r="A571" s="253" t="s">
        <v>3756</v>
      </c>
      <c r="B571" s="256" t="s">
        <v>3757</v>
      </c>
      <c r="C571" s="258" t="s">
        <v>487</v>
      </c>
      <c r="D571" s="118">
        <f t="shared" si="55"/>
        <v>7500</v>
      </c>
      <c r="E571" s="118">
        <f t="shared" si="59"/>
        <v>1500</v>
      </c>
      <c r="F571" s="118">
        <v>9000</v>
      </c>
      <c r="G571" s="130"/>
      <c r="H571" s="304"/>
      <c r="I571" s="304"/>
      <c r="L571" s="195"/>
    </row>
    <row r="572" spans="1:12" customFormat="1" ht="33.75" customHeight="1" outlineLevel="2" x14ac:dyDescent="0.2">
      <c r="A572" s="253" t="s">
        <v>3758</v>
      </c>
      <c r="B572" s="256" t="s">
        <v>3759</v>
      </c>
      <c r="C572" s="258" t="s">
        <v>487</v>
      </c>
      <c r="D572" s="118">
        <f t="shared" si="55"/>
        <v>5000</v>
      </c>
      <c r="E572" s="118">
        <f t="shared" si="59"/>
        <v>1000</v>
      </c>
      <c r="F572" s="118">
        <v>6000</v>
      </c>
      <c r="G572" s="130"/>
      <c r="H572" s="304"/>
      <c r="I572" s="304"/>
      <c r="L572" s="195"/>
    </row>
    <row r="573" spans="1:12" customFormat="1" ht="24" customHeight="1" outlineLevel="2" x14ac:dyDescent="0.2">
      <c r="A573" s="253" t="s">
        <v>3761</v>
      </c>
      <c r="B573" s="256" t="s">
        <v>3766</v>
      </c>
      <c r="C573" s="251"/>
      <c r="D573" s="131"/>
      <c r="E573" s="131"/>
      <c r="F573" s="131"/>
      <c r="G573" s="130"/>
      <c r="H573" s="304"/>
      <c r="I573" s="304"/>
      <c r="L573" s="195"/>
    </row>
    <row r="574" spans="1:12" customFormat="1" ht="26.25" customHeight="1" outlineLevel="2" x14ac:dyDescent="0.2">
      <c r="A574" s="371" t="s">
        <v>3762</v>
      </c>
      <c r="B574" s="336" t="s">
        <v>3290</v>
      </c>
      <c r="C574" s="373" t="s">
        <v>3772</v>
      </c>
      <c r="D574" s="118">
        <f t="shared" ref="D574:D578" si="70">F574-E574</f>
        <v>1891.6666666666665</v>
      </c>
      <c r="E574" s="118">
        <f t="shared" ref="E574:E578" si="71">F574/1.2*0.2</f>
        <v>378.33333333333337</v>
      </c>
      <c r="F574" s="374">
        <v>2270</v>
      </c>
      <c r="G574" s="130"/>
      <c r="H574" s="304"/>
      <c r="I574" s="304"/>
      <c r="L574" s="195"/>
    </row>
    <row r="575" spans="1:12" customFormat="1" ht="20.25" customHeight="1" outlineLevel="2" x14ac:dyDescent="0.2">
      <c r="A575" s="371" t="s">
        <v>3763</v>
      </c>
      <c r="B575" s="336" t="s">
        <v>3767</v>
      </c>
      <c r="C575" s="373" t="s">
        <v>3772</v>
      </c>
      <c r="D575" s="118">
        <f t="shared" si="70"/>
        <v>2108.333333333333</v>
      </c>
      <c r="E575" s="118">
        <f t="shared" si="71"/>
        <v>421.66666666666674</v>
      </c>
      <c r="F575" s="374">
        <v>2530</v>
      </c>
      <c r="G575" s="130"/>
      <c r="H575" s="304"/>
      <c r="I575" s="304"/>
      <c r="L575" s="195"/>
    </row>
    <row r="576" spans="1:12" customFormat="1" ht="21" customHeight="1" outlineLevel="2" x14ac:dyDescent="0.2">
      <c r="A576" s="371" t="s">
        <v>3764</v>
      </c>
      <c r="B576" s="336" t="s">
        <v>3769</v>
      </c>
      <c r="C576" s="373" t="s">
        <v>3772</v>
      </c>
      <c r="D576" s="118">
        <f t="shared" si="70"/>
        <v>2541.6666666666665</v>
      </c>
      <c r="E576" s="118">
        <f t="shared" si="71"/>
        <v>508.33333333333343</v>
      </c>
      <c r="F576" s="374">
        <v>3050</v>
      </c>
      <c r="G576" s="130"/>
      <c r="H576" s="304"/>
      <c r="I576" s="304"/>
      <c r="L576" s="195"/>
    </row>
    <row r="577" spans="1:12" customFormat="1" ht="26.25" customHeight="1" outlineLevel="2" x14ac:dyDescent="0.2">
      <c r="A577" s="371" t="s">
        <v>3765</v>
      </c>
      <c r="B577" s="336" t="s">
        <v>3768</v>
      </c>
      <c r="C577" s="373" t="s">
        <v>3772</v>
      </c>
      <c r="D577" s="118">
        <f t="shared" si="70"/>
        <v>2783.333333333333</v>
      </c>
      <c r="E577" s="118">
        <f t="shared" si="71"/>
        <v>556.66666666666674</v>
      </c>
      <c r="F577" s="374">
        <v>3340</v>
      </c>
      <c r="G577" s="130"/>
      <c r="H577" s="304"/>
      <c r="I577" s="304"/>
      <c r="L577" s="195"/>
    </row>
    <row r="578" spans="1:12" customFormat="1" ht="26.25" customHeight="1" outlineLevel="2" x14ac:dyDescent="0.2">
      <c r="A578" s="376" t="s">
        <v>3774</v>
      </c>
      <c r="B578" s="256" t="s">
        <v>3775</v>
      </c>
      <c r="C578" s="373" t="s">
        <v>3772</v>
      </c>
      <c r="D578" s="118">
        <f t="shared" si="70"/>
        <v>5416.6666666666661</v>
      </c>
      <c r="E578" s="118">
        <f t="shared" si="71"/>
        <v>1083.3333333333335</v>
      </c>
      <c r="F578" s="374">
        <v>6500</v>
      </c>
      <c r="G578" s="130"/>
      <c r="H578" s="304"/>
      <c r="I578" s="304"/>
      <c r="L578" s="195"/>
    </row>
    <row r="579" spans="1:12" customFormat="1" ht="24.75" customHeight="1" outlineLevel="2" x14ac:dyDescent="0.2">
      <c r="A579" s="376" t="s">
        <v>3782</v>
      </c>
      <c r="B579" s="256" t="s">
        <v>3783</v>
      </c>
      <c r="C579" s="251"/>
      <c r="D579" s="118"/>
      <c r="E579" s="118"/>
      <c r="F579" s="374"/>
      <c r="G579" s="130"/>
      <c r="H579" s="304"/>
      <c r="I579" s="304"/>
      <c r="L579" s="195"/>
    </row>
    <row r="580" spans="1:12" customFormat="1" ht="16.5" customHeight="1" outlineLevel="2" x14ac:dyDescent="0.2">
      <c r="A580" s="371" t="s">
        <v>3784</v>
      </c>
      <c r="B580" s="336" t="s">
        <v>627</v>
      </c>
      <c r="C580" s="251" t="s">
        <v>543</v>
      </c>
      <c r="D580" s="118">
        <f t="shared" ref="D580:D581" si="72">F580-E580</f>
        <v>7500</v>
      </c>
      <c r="E580" s="118">
        <f t="shared" ref="E580:E581" si="73">F580/1.2*0.2</f>
        <v>1500</v>
      </c>
      <c r="F580" s="374">
        <v>9000</v>
      </c>
      <c r="G580" s="130"/>
      <c r="H580" s="304"/>
      <c r="I580" s="304"/>
      <c r="L580" s="195"/>
    </row>
    <row r="581" spans="1:12" customFormat="1" ht="22.5" customHeight="1" outlineLevel="2" x14ac:dyDescent="0.2">
      <c r="A581" s="371" t="s">
        <v>3785</v>
      </c>
      <c r="B581" s="336" t="s">
        <v>675</v>
      </c>
      <c r="C581" s="251" t="s">
        <v>543</v>
      </c>
      <c r="D581" s="118">
        <f t="shared" si="72"/>
        <v>10000</v>
      </c>
      <c r="E581" s="118">
        <f t="shared" si="73"/>
        <v>2000</v>
      </c>
      <c r="F581" s="374">
        <v>12000</v>
      </c>
      <c r="G581" s="130"/>
      <c r="H581" s="304"/>
      <c r="I581" s="304"/>
      <c r="L581" s="195"/>
    </row>
    <row r="582" spans="1:12" customFormat="1" ht="18.75" x14ac:dyDescent="0.2">
      <c r="A582" s="392" t="s">
        <v>3094</v>
      </c>
      <c r="B582" s="393"/>
      <c r="C582" s="393"/>
      <c r="D582" s="422"/>
      <c r="E582" s="422"/>
      <c r="F582" s="422"/>
      <c r="G582" s="394"/>
      <c r="H582" s="307"/>
      <c r="I582" s="307"/>
      <c r="L582" s="195"/>
    </row>
    <row r="583" spans="1:12" customFormat="1" outlineLevel="1" x14ac:dyDescent="0.2">
      <c r="A583" s="209" t="s">
        <v>2491</v>
      </c>
      <c r="B583" s="70" t="s">
        <v>2162</v>
      </c>
      <c r="C583" s="137" t="s">
        <v>487</v>
      </c>
      <c r="D583" s="118">
        <f t="shared" ref="D583:D599" si="74">F583-E583</f>
        <v>125.83333333333333</v>
      </c>
      <c r="E583" s="118">
        <f t="shared" ref="E583:E599" si="75">F583/1.2*0.2</f>
        <v>25.166666666666671</v>
      </c>
      <c r="F583" s="118">
        <f t="shared" ref="F583:F662" si="76">I583</f>
        <v>151</v>
      </c>
      <c r="G583" s="118">
        <v>139</v>
      </c>
      <c r="H583" s="304">
        <f t="shared" ref="H583:H599" si="77">G583*$H$8</f>
        <v>150.67600000000002</v>
      </c>
      <c r="I583" s="304">
        <f t="shared" ref="I583:I599" si="78">ROUND(H583,0)</f>
        <v>151</v>
      </c>
      <c r="L583" s="195"/>
    </row>
    <row r="584" spans="1:12" customFormat="1" outlineLevel="1" x14ac:dyDescent="0.2">
      <c r="A584" s="209" t="s">
        <v>2492</v>
      </c>
      <c r="B584" s="70" t="s">
        <v>1496</v>
      </c>
      <c r="C584" s="141" t="s">
        <v>543</v>
      </c>
      <c r="D584" s="118">
        <f t="shared" si="74"/>
        <v>145.83333333333331</v>
      </c>
      <c r="E584" s="118">
        <f t="shared" si="75"/>
        <v>29.166666666666671</v>
      </c>
      <c r="F584" s="118">
        <f t="shared" si="76"/>
        <v>175</v>
      </c>
      <c r="G584" s="118">
        <v>161</v>
      </c>
      <c r="H584" s="304">
        <f t="shared" si="77"/>
        <v>174.524</v>
      </c>
      <c r="I584" s="304">
        <f t="shared" si="78"/>
        <v>175</v>
      </c>
      <c r="L584" s="195"/>
    </row>
    <row r="585" spans="1:12" customFormat="1" outlineLevel="1" x14ac:dyDescent="0.2">
      <c r="A585" s="209" t="s">
        <v>2493</v>
      </c>
      <c r="B585" s="70" t="s">
        <v>1495</v>
      </c>
      <c r="C585" s="141" t="s">
        <v>543</v>
      </c>
      <c r="D585" s="118">
        <f t="shared" si="74"/>
        <v>482.5</v>
      </c>
      <c r="E585" s="118">
        <f t="shared" si="75"/>
        <v>96.5</v>
      </c>
      <c r="F585" s="118">
        <f t="shared" si="76"/>
        <v>579</v>
      </c>
      <c r="G585" s="118">
        <v>534</v>
      </c>
      <c r="H585" s="304">
        <f t="shared" si="77"/>
        <v>578.85599999999999</v>
      </c>
      <c r="I585" s="304">
        <f t="shared" si="78"/>
        <v>579</v>
      </c>
      <c r="L585" s="195"/>
    </row>
    <row r="586" spans="1:12" customFormat="1" outlineLevel="1" x14ac:dyDescent="0.2">
      <c r="A586" s="209" t="s">
        <v>2494</v>
      </c>
      <c r="B586" s="70" t="s">
        <v>1460</v>
      </c>
      <c r="C586" s="141" t="s">
        <v>543</v>
      </c>
      <c r="D586" s="118">
        <f t="shared" si="74"/>
        <v>130</v>
      </c>
      <c r="E586" s="118">
        <f t="shared" si="75"/>
        <v>26</v>
      </c>
      <c r="F586" s="118">
        <f t="shared" si="76"/>
        <v>156</v>
      </c>
      <c r="G586" s="118">
        <v>144</v>
      </c>
      <c r="H586" s="304">
        <f t="shared" si="77"/>
        <v>156.096</v>
      </c>
      <c r="I586" s="304">
        <f t="shared" si="78"/>
        <v>156</v>
      </c>
      <c r="L586" s="195"/>
    </row>
    <row r="587" spans="1:12" customFormat="1" outlineLevel="1" x14ac:dyDescent="0.2">
      <c r="A587" s="209" t="s">
        <v>2495</v>
      </c>
      <c r="B587" s="70" t="s">
        <v>1461</v>
      </c>
      <c r="C587" s="141" t="s">
        <v>543</v>
      </c>
      <c r="D587" s="118">
        <f t="shared" si="74"/>
        <v>145.83333333333331</v>
      </c>
      <c r="E587" s="118">
        <f t="shared" si="75"/>
        <v>29.166666666666671</v>
      </c>
      <c r="F587" s="118">
        <f t="shared" si="76"/>
        <v>175</v>
      </c>
      <c r="G587" s="118">
        <v>161</v>
      </c>
      <c r="H587" s="304">
        <f t="shared" si="77"/>
        <v>174.524</v>
      </c>
      <c r="I587" s="304">
        <f t="shared" si="78"/>
        <v>175</v>
      </c>
      <c r="L587" s="195"/>
    </row>
    <row r="588" spans="1:12" customFormat="1" outlineLevel="1" x14ac:dyDescent="0.2">
      <c r="A588" s="209" t="s">
        <v>2496</v>
      </c>
      <c r="B588" s="70" t="s">
        <v>1573</v>
      </c>
      <c r="C588" s="156" t="s">
        <v>543</v>
      </c>
      <c r="D588" s="118">
        <f t="shared" si="74"/>
        <v>459.16666666666663</v>
      </c>
      <c r="E588" s="118">
        <f t="shared" si="75"/>
        <v>91.833333333333343</v>
      </c>
      <c r="F588" s="118">
        <f t="shared" si="76"/>
        <v>551</v>
      </c>
      <c r="G588" s="118">
        <v>508</v>
      </c>
      <c r="H588" s="304">
        <f t="shared" si="77"/>
        <v>550.67200000000003</v>
      </c>
      <c r="I588" s="304">
        <f t="shared" si="78"/>
        <v>551</v>
      </c>
      <c r="L588" s="195"/>
    </row>
    <row r="589" spans="1:12" customFormat="1" outlineLevel="1" x14ac:dyDescent="0.2">
      <c r="A589" s="209" t="s">
        <v>3073</v>
      </c>
      <c r="B589" s="70" t="s">
        <v>3063</v>
      </c>
      <c r="C589" s="223" t="s">
        <v>543</v>
      </c>
      <c r="D589" s="118">
        <f t="shared" si="74"/>
        <v>1987.5</v>
      </c>
      <c r="E589" s="118">
        <f t="shared" si="75"/>
        <v>397.5</v>
      </c>
      <c r="F589" s="118">
        <f t="shared" si="76"/>
        <v>2385</v>
      </c>
      <c r="G589" s="118">
        <v>2200</v>
      </c>
      <c r="H589" s="304">
        <f t="shared" si="77"/>
        <v>2384.8000000000002</v>
      </c>
      <c r="I589" s="304">
        <f t="shared" si="78"/>
        <v>2385</v>
      </c>
      <c r="L589" s="195"/>
    </row>
    <row r="590" spans="1:12" customFormat="1" outlineLevel="1" x14ac:dyDescent="0.2">
      <c r="A590" s="209" t="s">
        <v>3074</v>
      </c>
      <c r="B590" s="70" t="s">
        <v>3084</v>
      </c>
      <c r="C590" s="229" t="s">
        <v>487</v>
      </c>
      <c r="D590" s="118">
        <f t="shared" si="74"/>
        <v>361.66666666666663</v>
      </c>
      <c r="E590" s="118">
        <f t="shared" si="75"/>
        <v>72.333333333333343</v>
      </c>
      <c r="F590" s="118">
        <f t="shared" si="76"/>
        <v>434</v>
      </c>
      <c r="G590" s="118">
        <v>400</v>
      </c>
      <c r="H590" s="304">
        <f t="shared" si="77"/>
        <v>433.6</v>
      </c>
      <c r="I590" s="304">
        <f t="shared" si="78"/>
        <v>434</v>
      </c>
      <c r="L590" s="195"/>
    </row>
    <row r="591" spans="1:12" customFormat="1" outlineLevel="1" x14ac:dyDescent="0.2">
      <c r="A591" s="209" t="s">
        <v>3075</v>
      </c>
      <c r="B591" s="70" t="s">
        <v>3085</v>
      </c>
      <c r="C591" s="229" t="s">
        <v>543</v>
      </c>
      <c r="D591" s="118">
        <f t="shared" si="74"/>
        <v>225.83333333333331</v>
      </c>
      <c r="E591" s="118">
        <f t="shared" si="75"/>
        <v>45.166666666666671</v>
      </c>
      <c r="F591" s="118">
        <f t="shared" si="76"/>
        <v>271</v>
      </c>
      <c r="G591" s="118">
        <v>250</v>
      </c>
      <c r="H591" s="304">
        <f t="shared" si="77"/>
        <v>271</v>
      </c>
      <c r="I591" s="304">
        <f t="shared" si="78"/>
        <v>271</v>
      </c>
      <c r="L591" s="195"/>
    </row>
    <row r="592" spans="1:12" customFormat="1" outlineLevel="1" x14ac:dyDescent="0.2">
      <c r="A592" s="209" t="s">
        <v>3076</v>
      </c>
      <c r="B592" s="70" t="s">
        <v>3086</v>
      </c>
      <c r="C592" s="229" t="s">
        <v>543</v>
      </c>
      <c r="D592" s="118">
        <f t="shared" si="74"/>
        <v>541.66666666666663</v>
      </c>
      <c r="E592" s="118">
        <f t="shared" si="75"/>
        <v>108.33333333333336</v>
      </c>
      <c r="F592" s="118">
        <f t="shared" si="76"/>
        <v>650</v>
      </c>
      <c r="G592" s="118">
        <v>600</v>
      </c>
      <c r="H592" s="304">
        <f t="shared" si="77"/>
        <v>650.40000000000009</v>
      </c>
      <c r="I592" s="304">
        <f t="shared" si="78"/>
        <v>650</v>
      </c>
      <c r="L592" s="195"/>
    </row>
    <row r="593" spans="1:12" customFormat="1" outlineLevel="1" x14ac:dyDescent="0.2">
      <c r="A593" s="209" t="s">
        <v>3077</v>
      </c>
      <c r="B593" s="70" t="s">
        <v>3087</v>
      </c>
      <c r="C593" s="229" t="s">
        <v>543</v>
      </c>
      <c r="D593" s="118">
        <f t="shared" si="74"/>
        <v>677.5</v>
      </c>
      <c r="E593" s="118">
        <f t="shared" si="75"/>
        <v>135.5</v>
      </c>
      <c r="F593" s="118">
        <f t="shared" si="76"/>
        <v>813</v>
      </c>
      <c r="G593" s="118">
        <v>750</v>
      </c>
      <c r="H593" s="304">
        <f t="shared" si="77"/>
        <v>813</v>
      </c>
      <c r="I593" s="304">
        <f t="shared" si="78"/>
        <v>813</v>
      </c>
      <c r="L593" s="195"/>
    </row>
    <row r="594" spans="1:12" customFormat="1" outlineLevel="1" x14ac:dyDescent="0.2">
      <c r="A594" s="209" t="s">
        <v>3078</v>
      </c>
      <c r="B594" s="70" t="s">
        <v>3088</v>
      </c>
      <c r="C594" s="229" t="s">
        <v>3072</v>
      </c>
      <c r="D594" s="118">
        <f t="shared" si="74"/>
        <v>144.16666666666666</v>
      </c>
      <c r="E594" s="118">
        <f t="shared" si="75"/>
        <v>28.833333333333339</v>
      </c>
      <c r="F594" s="118">
        <f t="shared" si="76"/>
        <v>173</v>
      </c>
      <c r="G594" s="118">
        <v>160</v>
      </c>
      <c r="H594" s="304">
        <f t="shared" si="77"/>
        <v>173.44</v>
      </c>
      <c r="I594" s="304">
        <f t="shared" si="78"/>
        <v>173</v>
      </c>
      <c r="L594" s="195"/>
    </row>
    <row r="595" spans="1:12" customFormat="1" outlineLevel="1" x14ac:dyDescent="0.2">
      <c r="A595" s="209" t="s">
        <v>3079</v>
      </c>
      <c r="B595" s="70" t="s">
        <v>3089</v>
      </c>
      <c r="C595" s="229" t="s">
        <v>3072</v>
      </c>
      <c r="D595" s="118">
        <f t="shared" si="74"/>
        <v>180.83333333333331</v>
      </c>
      <c r="E595" s="118">
        <f t="shared" si="75"/>
        <v>36.166666666666671</v>
      </c>
      <c r="F595" s="118">
        <f t="shared" si="76"/>
        <v>217</v>
      </c>
      <c r="G595" s="118">
        <v>200</v>
      </c>
      <c r="H595" s="304">
        <f t="shared" si="77"/>
        <v>216.8</v>
      </c>
      <c r="I595" s="304">
        <f t="shared" si="78"/>
        <v>217</v>
      </c>
      <c r="L595" s="195"/>
    </row>
    <row r="596" spans="1:12" customFormat="1" outlineLevel="1" x14ac:dyDescent="0.2">
      <c r="A596" s="209" t="s">
        <v>3080</v>
      </c>
      <c r="B596" s="70" t="s">
        <v>3090</v>
      </c>
      <c r="C596" s="229" t="s">
        <v>543</v>
      </c>
      <c r="D596" s="118">
        <f t="shared" si="74"/>
        <v>270.83333333333331</v>
      </c>
      <c r="E596" s="118">
        <f t="shared" si="75"/>
        <v>54.166666666666679</v>
      </c>
      <c r="F596" s="118">
        <f t="shared" si="76"/>
        <v>325</v>
      </c>
      <c r="G596" s="118">
        <v>300</v>
      </c>
      <c r="H596" s="304">
        <f t="shared" si="77"/>
        <v>325.20000000000005</v>
      </c>
      <c r="I596" s="304">
        <f t="shared" si="78"/>
        <v>325</v>
      </c>
      <c r="L596" s="195"/>
    </row>
    <row r="597" spans="1:12" customFormat="1" outlineLevel="1" x14ac:dyDescent="0.2">
      <c r="A597" s="209" t="s">
        <v>3081</v>
      </c>
      <c r="B597" s="70" t="s">
        <v>3091</v>
      </c>
      <c r="C597" s="229" t="s">
        <v>543</v>
      </c>
      <c r="D597" s="118">
        <f t="shared" si="74"/>
        <v>343.33333333333331</v>
      </c>
      <c r="E597" s="118">
        <f t="shared" si="75"/>
        <v>68.666666666666671</v>
      </c>
      <c r="F597" s="118">
        <f t="shared" si="76"/>
        <v>412</v>
      </c>
      <c r="G597" s="118">
        <v>380</v>
      </c>
      <c r="H597" s="304">
        <f t="shared" si="77"/>
        <v>411.92</v>
      </c>
      <c r="I597" s="304">
        <f t="shared" si="78"/>
        <v>412</v>
      </c>
      <c r="L597" s="195"/>
    </row>
    <row r="598" spans="1:12" customFormat="1" outlineLevel="1" x14ac:dyDescent="0.2">
      <c r="A598" s="209" t="s">
        <v>3082</v>
      </c>
      <c r="B598" s="70" t="s">
        <v>3092</v>
      </c>
      <c r="C598" s="229" t="s">
        <v>543</v>
      </c>
      <c r="D598" s="118">
        <f t="shared" si="74"/>
        <v>361.66666666666663</v>
      </c>
      <c r="E598" s="118">
        <f t="shared" si="75"/>
        <v>72.333333333333343</v>
      </c>
      <c r="F598" s="118">
        <f t="shared" si="76"/>
        <v>434</v>
      </c>
      <c r="G598" s="118">
        <v>400</v>
      </c>
      <c r="H598" s="304">
        <f t="shared" si="77"/>
        <v>433.6</v>
      </c>
      <c r="I598" s="304">
        <f t="shared" si="78"/>
        <v>434</v>
      </c>
      <c r="L598" s="195"/>
    </row>
    <row r="599" spans="1:12" customFormat="1" outlineLevel="1" x14ac:dyDescent="0.2">
      <c r="A599" s="209" t="s">
        <v>3083</v>
      </c>
      <c r="B599" s="70" t="s">
        <v>3093</v>
      </c>
      <c r="C599" s="229" t="s">
        <v>543</v>
      </c>
      <c r="D599" s="118">
        <f t="shared" si="74"/>
        <v>334.16666666666663</v>
      </c>
      <c r="E599" s="118">
        <f t="shared" si="75"/>
        <v>66.833333333333343</v>
      </c>
      <c r="F599" s="118">
        <f t="shared" si="76"/>
        <v>401</v>
      </c>
      <c r="G599" s="118">
        <v>370</v>
      </c>
      <c r="H599" s="304">
        <f t="shared" si="77"/>
        <v>401.08000000000004</v>
      </c>
      <c r="I599" s="304">
        <f t="shared" si="78"/>
        <v>401</v>
      </c>
      <c r="L599" s="195"/>
    </row>
    <row r="600" spans="1:12" customFormat="1" outlineLevel="1" x14ac:dyDescent="0.2">
      <c r="A600" s="209" t="s">
        <v>3478</v>
      </c>
      <c r="B600" s="70" t="s">
        <v>620</v>
      </c>
      <c r="C600" s="107"/>
      <c r="D600" s="118"/>
      <c r="E600" s="118"/>
      <c r="F600" s="118"/>
      <c r="G600" s="118"/>
      <c r="H600" s="304">
        <f t="shared" ref="H600:H614" si="79">G600*$H$8</f>
        <v>0</v>
      </c>
      <c r="I600" s="304">
        <f t="shared" ref="I600:I614" si="80">ROUND(H600,0)</f>
        <v>0</v>
      </c>
      <c r="L600" s="195"/>
    </row>
    <row r="601" spans="1:12" customFormat="1" outlineLevel="1" x14ac:dyDescent="0.2">
      <c r="A601" s="214" t="s">
        <v>3479</v>
      </c>
      <c r="B601" s="70" t="s">
        <v>621</v>
      </c>
      <c r="C601" s="212" t="s">
        <v>3072</v>
      </c>
      <c r="D601" s="118">
        <f>F601-E601</f>
        <v>1555</v>
      </c>
      <c r="E601" s="118">
        <f>F601/1.2*0.2</f>
        <v>311</v>
      </c>
      <c r="F601" s="118">
        <f>I601</f>
        <v>1866</v>
      </c>
      <c r="G601" s="118">
        <f>1564/1.09*1.2</f>
        <v>1721.834862385321</v>
      </c>
      <c r="H601" s="304">
        <f t="shared" si="79"/>
        <v>1866.468990825688</v>
      </c>
      <c r="I601" s="304">
        <f t="shared" si="80"/>
        <v>1866</v>
      </c>
      <c r="J601" s="330">
        <v>0.09</v>
      </c>
      <c r="L601" s="195"/>
    </row>
    <row r="602" spans="1:12" customFormat="1" outlineLevel="1" x14ac:dyDescent="0.2">
      <c r="A602" s="214" t="s">
        <v>3480</v>
      </c>
      <c r="B602" s="70" t="s">
        <v>622</v>
      </c>
      <c r="C602" s="332" t="s">
        <v>3072</v>
      </c>
      <c r="D602" s="118">
        <f>F602-E602</f>
        <v>1552.5</v>
      </c>
      <c r="E602" s="118">
        <f>F602/1.2*0.2</f>
        <v>310.5</v>
      </c>
      <c r="F602" s="118">
        <f>I602</f>
        <v>1863</v>
      </c>
      <c r="G602" s="118">
        <v>1719</v>
      </c>
      <c r="H602" s="304">
        <f t="shared" si="79"/>
        <v>1863.3960000000002</v>
      </c>
      <c r="I602" s="304">
        <f t="shared" si="80"/>
        <v>1863</v>
      </c>
      <c r="J602" s="330">
        <v>0.2</v>
      </c>
      <c r="L602" s="195"/>
    </row>
    <row r="603" spans="1:12" customFormat="1" outlineLevel="1" x14ac:dyDescent="0.2">
      <c r="A603" s="214" t="s">
        <v>3481</v>
      </c>
      <c r="B603" s="70" t="s">
        <v>623</v>
      </c>
      <c r="C603" s="332" t="s">
        <v>3072</v>
      </c>
      <c r="D603" s="118">
        <f>F603-E603</f>
        <v>1552.5</v>
      </c>
      <c r="E603" s="118">
        <f>F603/1.2*0.2</f>
        <v>310.5</v>
      </c>
      <c r="F603" s="118">
        <f>I603</f>
        <v>1863</v>
      </c>
      <c r="G603" s="118">
        <v>1719</v>
      </c>
      <c r="H603" s="304">
        <f t="shared" si="79"/>
        <v>1863.3960000000002</v>
      </c>
      <c r="I603" s="304">
        <f t="shared" si="80"/>
        <v>1863</v>
      </c>
      <c r="L603" s="195"/>
    </row>
    <row r="604" spans="1:12" customFormat="1" outlineLevel="1" x14ac:dyDescent="0.2">
      <c r="A604" s="214" t="s">
        <v>3482</v>
      </c>
      <c r="B604" s="70" t="s">
        <v>624</v>
      </c>
      <c r="C604" s="332" t="s">
        <v>3072</v>
      </c>
      <c r="D604" s="118">
        <f>F604-E604</f>
        <v>2260</v>
      </c>
      <c r="E604" s="118">
        <f>F604/1.2*0.2</f>
        <v>452</v>
      </c>
      <c r="F604" s="118">
        <f>I604</f>
        <v>2712</v>
      </c>
      <c r="G604" s="118">
        <v>2502</v>
      </c>
      <c r="H604" s="304">
        <f t="shared" si="79"/>
        <v>2712.1680000000001</v>
      </c>
      <c r="I604" s="304">
        <f t="shared" si="80"/>
        <v>2712</v>
      </c>
      <c r="J604" s="330">
        <v>0.23</v>
      </c>
      <c r="L604" s="195"/>
    </row>
    <row r="605" spans="1:12" customFormat="1" outlineLevel="1" x14ac:dyDescent="0.2">
      <c r="A605" s="25" t="s">
        <v>3483</v>
      </c>
      <c r="B605" s="70" t="s">
        <v>677</v>
      </c>
      <c r="C605" s="107"/>
      <c r="D605" s="118"/>
      <c r="E605" s="118"/>
      <c r="F605" s="118"/>
      <c r="G605" s="118"/>
      <c r="H605" s="304">
        <f t="shared" si="79"/>
        <v>0</v>
      </c>
      <c r="I605" s="304">
        <f t="shared" si="80"/>
        <v>0</v>
      </c>
      <c r="J605" s="330"/>
      <c r="L605" s="195"/>
    </row>
    <row r="606" spans="1:12" customFormat="1" outlineLevel="1" x14ac:dyDescent="0.2">
      <c r="A606" s="214" t="s">
        <v>3484</v>
      </c>
      <c r="B606" s="70" t="s">
        <v>627</v>
      </c>
      <c r="C606" s="213" t="s">
        <v>3072</v>
      </c>
      <c r="D606" s="118">
        <f t="shared" ref="D606:D611" si="81">F606-E606</f>
        <v>508.33333333333331</v>
      </c>
      <c r="E606" s="118">
        <f t="shared" ref="E606:E611" si="82">F606/1.2*0.2</f>
        <v>101.66666666666669</v>
      </c>
      <c r="F606" s="118">
        <f t="shared" ref="F606:F611" si="83">I606</f>
        <v>610</v>
      </c>
      <c r="G606" s="118">
        <v>563</v>
      </c>
      <c r="H606" s="304">
        <f t="shared" si="79"/>
        <v>610.29200000000003</v>
      </c>
      <c r="I606" s="304">
        <f t="shared" si="80"/>
        <v>610</v>
      </c>
      <c r="J606" s="330"/>
      <c r="L606" s="195"/>
    </row>
    <row r="607" spans="1:12" customFormat="1" outlineLevel="1" x14ac:dyDescent="0.2">
      <c r="A607" s="214" t="s">
        <v>3485</v>
      </c>
      <c r="B607" s="70" t="s">
        <v>675</v>
      </c>
      <c r="C607" s="332" t="s">
        <v>3072</v>
      </c>
      <c r="D607" s="118">
        <f t="shared" si="81"/>
        <v>706.66666666666663</v>
      </c>
      <c r="E607" s="118">
        <f t="shared" si="82"/>
        <v>141.33333333333334</v>
      </c>
      <c r="F607" s="118">
        <f t="shared" si="83"/>
        <v>848</v>
      </c>
      <c r="G607" s="118">
        <v>782</v>
      </c>
      <c r="H607" s="304">
        <f t="shared" si="79"/>
        <v>847.6880000000001</v>
      </c>
      <c r="I607" s="304">
        <f t="shared" si="80"/>
        <v>848</v>
      </c>
      <c r="J607" s="330"/>
      <c r="L607" s="195"/>
    </row>
    <row r="608" spans="1:12" customFormat="1" outlineLevel="1" x14ac:dyDescent="0.2">
      <c r="A608" s="25" t="s">
        <v>3486</v>
      </c>
      <c r="B608" s="70" t="s">
        <v>678</v>
      </c>
      <c r="C608" s="332" t="s">
        <v>3072</v>
      </c>
      <c r="D608" s="118">
        <f t="shared" si="81"/>
        <v>565.83333333333326</v>
      </c>
      <c r="E608" s="118">
        <f t="shared" si="82"/>
        <v>113.16666666666669</v>
      </c>
      <c r="F608" s="118">
        <f t="shared" si="83"/>
        <v>679</v>
      </c>
      <c r="G608" s="118">
        <v>626</v>
      </c>
      <c r="H608" s="304">
        <f t="shared" si="79"/>
        <v>678.58400000000006</v>
      </c>
      <c r="I608" s="304">
        <f t="shared" si="80"/>
        <v>679</v>
      </c>
      <c r="J608" s="330"/>
      <c r="L608" s="195"/>
    </row>
    <row r="609" spans="1:12" customFormat="1" outlineLevel="1" x14ac:dyDescent="0.2">
      <c r="A609" s="25" t="s">
        <v>3487</v>
      </c>
      <c r="B609" s="70" t="s">
        <v>679</v>
      </c>
      <c r="C609" s="332" t="s">
        <v>3072</v>
      </c>
      <c r="D609" s="118">
        <f t="shared" si="81"/>
        <v>282.5</v>
      </c>
      <c r="E609" s="118">
        <f t="shared" si="82"/>
        <v>56.5</v>
      </c>
      <c r="F609" s="118">
        <f t="shared" si="83"/>
        <v>339</v>
      </c>
      <c r="G609" s="118">
        <v>313</v>
      </c>
      <c r="H609" s="304">
        <f t="shared" si="79"/>
        <v>339.29200000000003</v>
      </c>
      <c r="I609" s="304">
        <f t="shared" si="80"/>
        <v>339</v>
      </c>
      <c r="J609" s="330"/>
      <c r="L609" s="195"/>
    </row>
    <row r="610" spans="1:12" customFormat="1" outlineLevel="1" x14ac:dyDescent="0.2">
      <c r="A610" s="25" t="s">
        <v>3488</v>
      </c>
      <c r="B610" s="70" t="s">
        <v>680</v>
      </c>
      <c r="C610" s="332" t="s">
        <v>3072</v>
      </c>
      <c r="D610" s="118">
        <f t="shared" si="81"/>
        <v>140.83333333333331</v>
      </c>
      <c r="E610" s="118">
        <f t="shared" si="82"/>
        <v>28.166666666666671</v>
      </c>
      <c r="F610" s="118">
        <f t="shared" si="83"/>
        <v>169</v>
      </c>
      <c r="G610" s="118">
        <v>156</v>
      </c>
      <c r="H610" s="304">
        <f t="shared" si="79"/>
        <v>169.10400000000001</v>
      </c>
      <c r="I610" s="304">
        <f t="shared" si="80"/>
        <v>169</v>
      </c>
      <c r="J610" s="330"/>
      <c r="L610" s="195"/>
    </row>
    <row r="611" spans="1:12" customFormat="1" outlineLevel="1" x14ac:dyDescent="0.2">
      <c r="A611" s="25" t="s">
        <v>3489</v>
      </c>
      <c r="B611" s="70" t="s">
        <v>681</v>
      </c>
      <c r="C611" s="107" t="s">
        <v>3072</v>
      </c>
      <c r="D611" s="118">
        <f t="shared" si="81"/>
        <v>1942.5</v>
      </c>
      <c r="E611" s="118">
        <f t="shared" si="82"/>
        <v>388.5</v>
      </c>
      <c r="F611" s="118">
        <f t="shared" si="83"/>
        <v>2331</v>
      </c>
      <c r="G611" s="118">
        <v>2150</v>
      </c>
      <c r="H611" s="304">
        <f t="shared" si="79"/>
        <v>2330.6000000000004</v>
      </c>
      <c r="I611" s="304">
        <f t="shared" si="80"/>
        <v>2331</v>
      </c>
      <c r="L611" s="195"/>
    </row>
    <row r="612" spans="1:12" customFormat="1" outlineLevel="1" x14ac:dyDescent="0.2">
      <c r="A612" s="25" t="s">
        <v>3490</v>
      </c>
      <c r="B612" s="70" t="s">
        <v>682</v>
      </c>
      <c r="C612" s="332"/>
      <c r="D612" s="118"/>
      <c r="E612" s="118"/>
      <c r="F612" s="118"/>
      <c r="G612" s="118"/>
      <c r="H612" s="304">
        <f t="shared" si="79"/>
        <v>0</v>
      </c>
      <c r="I612" s="304">
        <f t="shared" si="80"/>
        <v>0</v>
      </c>
      <c r="L612" s="195"/>
    </row>
    <row r="613" spans="1:12" customFormat="1" outlineLevel="1" x14ac:dyDescent="0.2">
      <c r="A613" s="214" t="s">
        <v>3491</v>
      </c>
      <c r="B613" s="70" t="s">
        <v>627</v>
      </c>
      <c r="C613" s="332" t="s">
        <v>3072</v>
      </c>
      <c r="D613" s="118">
        <f>F613-E613</f>
        <v>846.66666666666663</v>
      </c>
      <c r="E613" s="118">
        <f>F613/1.2*0.2</f>
        <v>169.33333333333337</v>
      </c>
      <c r="F613" s="118">
        <f>I613</f>
        <v>1016</v>
      </c>
      <c r="G613" s="118">
        <v>937</v>
      </c>
      <c r="H613" s="304">
        <f t="shared" si="79"/>
        <v>1015.7080000000001</v>
      </c>
      <c r="I613" s="304">
        <f t="shared" si="80"/>
        <v>1016</v>
      </c>
      <c r="L613" s="195"/>
    </row>
    <row r="614" spans="1:12" customFormat="1" outlineLevel="1" x14ac:dyDescent="0.2">
      <c r="A614" s="214" t="s">
        <v>3492</v>
      </c>
      <c r="B614" s="70" t="s">
        <v>675</v>
      </c>
      <c r="C614" s="332" t="s">
        <v>3072</v>
      </c>
      <c r="D614" s="118">
        <f>F614-E614</f>
        <v>1412.5</v>
      </c>
      <c r="E614" s="118">
        <f>F614/1.2*0.2</f>
        <v>282.5</v>
      </c>
      <c r="F614" s="118">
        <f>I614</f>
        <v>1695</v>
      </c>
      <c r="G614" s="118">
        <v>1564</v>
      </c>
      <c r="H614" s="304">
        <f t="shared" si="79"/>
        <v>1695.3760000000002</v>
      </c>
      <c r="I614" s="304">
        <f t="shared" si="80"/>
        <v>1695</v>
      </c>
      <c r="L614" s="195"/>
    </row>
    <row r="615" spans="1:12" customFormat="1" outlineLevel="1" x14ac:dyDescent="0.2">
      <c r="A615" s="380" t="s">
        <v>3799</v>
      </c>
      <c r="B615" s="70" t="s">
        <v>3800</v>
      </c>
      <c r="C615" s="378" t="s">
        <v>3072</v>
      </c>
      <c r="D615" s="118">
        <f>F615-E615</f>
        <v>850</v>
      </c>
      <c r="E615" s="118">
        <f>F615/1.2*0.2</f>
        <v>170</v>
      </c>
      <c r="F615" s="118">
        <v>1020</v>
      </c>
      <c r="G615" s="130"/>
      <c r="H615" s="304"/>
      <c r="I615" s="304"/>
      <c r="L615" s="195"/>
    </row>
    <row r="616" spans="1:12" customFormat="1" ht="18.75" x14ac:dyDescent="0.2">
      <c r="A616" s="392" t="s">
        <v>2161</v>
      </c>
      <c r="B616" s="393"/>
      <c r="C616" s="393"/>
      <c r="D616" s="393"/>
      <c r="E616" s="393"/>
      <c r="F616" s="393"/>
      <c r="G616" s="394"/>
      <c r="H616" s="307"/>
      <c r="I616" s="307"/>
      <c r="L616" s="195"/>
    </row>
    <row r="617" spans="1:12" customFormat="1" outlineLevel="1" x14ac:dyDescent="0.2">
      <c r="A617" s="25" t="s">
        <v>3493</v>
      </c>
      <c r="B617" s="181" t="s">
        <v>758</v>
      </c>
      <c r="C617" s="107" t="s">
        <v>756</v>
      </c>
      <c r="D617" s="118">
        <f t="shared" ref="D617:D679" si="84">F617-E617</f>
        <v>85</v>
      </c>
      <c r="E617" s="118">
        <f t="shared" ref="E617:E679" si="85">F617/1.2*0.2</f>
        <v>17</v>
      </c>
      <c r="F617" s="118">
        <f t="shared" si="76"/>
        <v>102</v>
      </c>
      <c r="G617" s="118">
        <v>94</v>
      </c>
      <c r="H617" s="304">
        <f t="shared" ref="H617:H679" si="86">G617*$H$8</f>
        <v>101.896</v>
      </c>
      <c r="I617" s="304">
        <f t="shared" ref="I617:I679" si="87">ROUND(H617,0)</f>
        <v>102</v>
      </c>
      <c r="L617" s="195"/>
    </row>
    <row r="618" spans="1:12" customFormat="1" outlineLevel="1" x14ac:dyDescent="0.2">
      <c r="A618" s="25" t="s">
        <v>3494</v>
      </c>
      <c r="B618" s="70" t="s">
        <v>759</v>
      </c>
      <c r="C618" s="213"/>
      <c r="D618" s="118"/>
      <c r="E618" s="118"/>
      <c r="F618" s="118"/>
      <c r="G618" s="118"/>
      <c r="H618" s="304">
        <f t="shared" si="86"/>
        <v>0</v>
      </c>
      <c r="I618" s="304">
        <f t="shared" si="87"/>
        <v>0</v>
      </c>
      <c r="L618" s="195"/>
    </row>
    <row r="619" spans="1:12" customFormat="1" outlineLevel="2" x14ac:dyDescent="0.2">
      <c r="A619" s="214" t="s">
        <v>3495</v>
      </c>
      <c r="B619" s="70" t="s">
        <v>1709</v>
      </c>
      <c r="C619" s="107" t="s">
        <v>543</v>
      </c>
      <c r="D619" s="118">
        <f t="shared" si="84"/>
        <v>471.66666666666663</v>
      </c>
      <c r="E619" s="118">
        <f t="shared" si="85"/>
        <v>94.333333333333343</v>
      </c>
      <c r="F619" s="118">
        <f t="shared" si="76"/>
        <v>566</v>
      </c>
      <c r="G619" s="118">
        <v>522</v>
      </c>
      <c r="H619" s="304">
        <f t="shared" si="86"/>
        <v>565.84800000000007</v>
      </c>
      <c r="I619" s="304">
        <f t="shared" si="87"/>
        <v>566</v>
      </c>
      <c r="L619" s="195"/>
    </row>
    <row r="620" spans="1:12" customFormat="1" outlineLevel="2" x14ac:dyDescent="0.2">
      <c r="A620" s="214" t="s">
        <v>3496</v>
      </c>
      <c r="B620" s="70" t="s">
        <v>1706</v>
      </c>
      <c r="C620" s="188" t="s">
        <v>543</v>
      </c>
      <c r="D620" s="118">
        <f t="shared" si="84"/>
        <v>609.16666666666663</v>
      </c>
      <c r="E620" s="118">
        <f t="shared" si="85"/>
        <v>121.83333333333336</v>
      </c>
      <c r="F620" s="118">
        <f t="shared" si="76"/>
        <v>731</v>
      </c>
      <c r="G620" s="118">
        <v>674</v>
      </c>
      <c r="H620" s="304">
        <f t="shared" si="86"/>
        <v>730.6160000000001</v>
      </c>
      <c r="I620" s="304">
        <f t="shared" si="87"/>
        <v>731</v>
      </c>
      <c r="L620" s="195"/>
    </row>
    <row r="621" spans="1:12" customFormat="1" outlineLevel="2" x14ac:dyDescent="0.2">
      <c r="A621" s="214" t="s">
        <v>3497</v>
      </c>
      <c r="B621" s="70" t="s">
        <v>1707</v>
      </c>
      <c r="C621" s="107" t="s">
        <v>543</v>
      </c>
      <c r="D621" s="118">
        <f t="shared" si="84"/>
        <v>837.5</v>
      </c>
      <c r="E621" s="118">
        <f t="shared" si="85"/>
        <v>167.5</v>
      </c>
      <c r="F621" s="118">
        <f t="shared" si="76"/>
        <v>1005</v>
      </c>
      <c r="G621" s="118">
        <v>927</v>
      </c>
      <c r="H621" s="304">
        <f t="shared" si="86"/>
        <v>1004.8680000000001</v>
      </c>
      <c r="I621" s="304">
        <f t="shared" si="87"/>
        <v>1005</v>
      </c>
      <c r="L621" s="195"/>
    </row>
    <row r="622" spans="1:12" customFormat="1" outlineLevel="2" x14ac:dyDescent="0.2">
      <c r="A622" s="214" t="s">
        <v>3498</v>
      </c>
      <c r="B622" s="70" t="s">
        <v>1708</v>
      </c>
      <c r="C622" s="335" t="s">
        <v>543</v>
      </c>
      <c r="D622" s="118">
        <f t="shared" si="84"/>
        <v>365.83333333333331</v>
      </c>
      <c r="E622" s="118">
        <f t="shared" si="85"/>
        <v>73.166666666666671</v>
      </c>
      <c r="F622" s="118">
        <f t="shared" si="76"/>
        <v>439</v>
      </c>
      <c r="G622" s="118">
        <v>405</v>
      </c>
      <c r="H622" s="304">
        <f t="shared" si="86"/>
        <v>439.02000000000004</v>
      </c>
      <c r="I622" s="304">
        <f t="shared" si="87"/>
        <v>439</v>
      </c>
      <c r="L622" s="195"/>
    </row>
    <row r="623" spans="1:12" customFormat="1" outlineLevel="2" x14ac:dyDescent="0.2">
      <c r="A623" s="214" t="s">
        <v>3499</v>
      </c>
      <c r="B623" s="337" t="s">
        <v>3307</v>
      </c>
      <c r="C623" s="335" t="s">
        <v>543</v>
      </c>
      <c r="D623" s="118">
        <f t="shared" ref="D623:D624" si="88">F623-E623</f>
        <v>333.33333333333331</v>
      </c>
      <c r="E623" s="118">
        <f t="shared" ref="E623:E624" si="89">F623/1.2*0.2</f>
        <v>66.666666666666671</v>
      </c>
      <c r="F623" s="118">
        <v>400</v>
      </c>
      <c r="G623" s="118"/>
      <c r="H623" s="304"/>
      <c r="I623" s="304"/>
      <c r="L623" s="195"/>
    </row>
    <row r="624" spans="1:12" customFormat="1" outlineLevel="2" x14ac:dyDescent="0.2">
      <c r="A624" s="214" t="s">
        <v>3500</v>
      </c>
      <c r="B624" s="337" t="s">
        <v>3308</v>
      </c>
      <c r="C624" s="335" t="s">
        <v>543</v>
      </c>
      <c r="D624" s="118">
        <f t="shared" si="88"/>
        <v>333.33333333333331</v>
      </c>
      <c r="E624" s="118">
        <f t="shared" si="89"/>
        <v>66.666666666666671</v>
      </c>
      <c r="F624" s="118">
        <v>400</v>
      </c>
      <c r="G624" s="118"/>
      <c r="H624" s="304"/>
      <c r="I624" s="304"/>
      <c r="L624" s="195"/>
    </row>
    <row r="625" spans="1:12" customFormat="1" outlineLevel="1" x14ac:dyDescent="0.2">
      <c r="A625" s="25" t="s">
        <v>2497</v>
      </c>
      <c r="B625" s="70" t="s">
        <v>765</v>
      </c>
      <c r="C625" s="107" t="s">
        <v>766</v>
      </c>
      <c r="D625" s="118">
        <f t="shared" si="84"/>
        <v>846.66666666666663</v>
      </c>
      <c r="E625" s="118">
        <f t="shared" si="85"/>
        <v>169.33333333333337</v>
      </c>
      <c r="F625" s="118">
        <f t="shared" si="76"/>
        <v>1016</v>
      </c>
      <c r="G625" s="118">
        <v>937</v>
      </c>
      <c r="H625" s="304">
        <f t="shared" si="86"/>
        <v>1015.7080000000001</v>
      </c>
      <c r="I625" s="304">
        <f t="shared" si="87"/>
        <v>1016</v>
      </c>
      <c r="L625" s="195"/>
    </row>
    <row r="626" spans="1:12" customFormat="1" outlineLevel="1" x14ac:dyDescent="0.2">
      <c r="A626" s="25" t="s">
        <v>2498</v>
      </c>
      <c r="B626" s="70" t="s">
        <v>767</v>
      </c>
      <c r="C626" s="107" t="s">
        <v>766</v>
      </c>
      <c r="D626" s="118">
        <f t="shared" si="84"/>
        <v>565.83333333333326</v>
      </c>
      <c r="E626" s="118">
        <f t="shared" si="85"/>
        <v>113.16666666666669</v>
      </c>
      <c r="F626" s="118">
        <f t="shared" si="76"/>
        <v>679</v>
      </c>
      <c r="G626" s="118">
        <v>626</v>
      </c>
      <c r="H626" s="304">
        <f t="shared" si="86"/>
        <v>678.58400000000006</v>
      </c>
      <c r="I626" s="304">
        <f t="shared" si="87"/>
        <v>679</v>
      </c>
      <c r="L626" s="195"/>
    </row>
    <row r="627" spans="1:12" customFormat="1" ht="47.25" outlineLevel="1" x14ac:dyDescent="0.2">
      <c r="A627" s="25" t="s">
        <v>2499</v>
      </c>
      <c r="B627" s="70" t="s">
        <v>768</v>
      </c>
      <c r="C627" s="107"/>
      <c r="D627" s="118"/>
      <c r="E627" s="118"/>
      <c r="F627" s="118"/>
      <c r="G627" s="118"/>
      <c r="H627" s="304">
        <f t="shared" si="86"/>
        <v>0</v>
      </c>
      <c r="I627" s="304">
        <f t="shared" si="87"/>
        <v>0</v>
      </c>
      <c r="L627" s="195"/>
    </row>
    <row r="628" spans="1:12" customFormat="1" outlineLevel="2" x14ac:dyDescent="0.2">
      <c r="A628" s="214" t="s">
        <v>3501</v>
      </c>
      <c r="B628" s="70" t="s">
        <v>769</v>
      </c>
      <c r="C628" s="213" t="s">
        <v>766</v>
      </c>
      <c r="D628" s="118">
        <f t="shared" si="84"/>
        <v>169.16666666666666</v>
      </c>
      <c r="E628" s="118">
        <f t="shared" si="85"/>
        <v>33.833333333333336</v>
      </c>
      <c r="F628" s="118">
        <f t="shared" si="76"/>
        <v>203</v>
      </c>
      <c r="G628" s="118">
        <v>187</v>
      </c>
      <c r="H628" s="304">
        <f t="shared" si="86"/>
        <v>202.70800000000003</v>
      </c>
      <c r="I628" s="304">
        <f t="shared" si="87"/>
        <v>203</v>
      </c>
      <c r="L628" s="195"/>
    </row>
    <row r="629" spans="1:12" customFormat="1" outlineLevel="2" x14ac:dyDescent="0.2">
      <c r="A629" s="214" t="s">
        <v>3502</v>
      </c>
      <c r="B629" s="70" t="s">
        <v>770</v>
      </c>
      <c r="C629" s="213" t="s">
        <v>766</v>
      </c>
      <c r="D629" s="118">
        <f t="shared" si="84"/>
        <v>423.33333333333331</v>
      </c>
      <c r="E629" s="118">
        <f t="shared" si="85"/>
        <v>84.666666666666686</v>
      </c>
      <c r="F629" s="118">
        <f t="shared" si="76"/>
        <v>508</v>
      </c>
      <c r="G629" s="118">
        <v>469</v>
      </c>
      <c r="H629" s="304">
        <f t="shared" si="86"/>
        <v>508.39600000000002</v>
      </c>
      <c r="I629" s="304">
        <f t="shared" si="87"/>
        <v>508</v>
      </c>
      <c r="L629" s="195"/>
    </row>
    <row r="630" spans="1:12" customFormat="1" outlineLevel="2" x14ac:dyDescent="0.2">
      <c r="A630" s="214" t="s">
        <v>3503</v>
      </c>
      <c r="B630" s="70" t="s">
        <v>771</v>
      </c>
      <c r="C630" s="213" t="s">
        <v>766</v>
      </c>
      <c r="D630" s="118">
        <f t="shared" si="84"/>
        <v>565.83333333333326</v>
      </c>
      <c r="E630" s="118">
        <f t="shared" si="85"/>
        <v>113.16666666666669</v>
      </c>
      <c r="F630" s="118">
        <f t="shared" si="76"/>
        <v>679</v>
      </c>
      <c r="G630" s="118">
        <v>626</v>
      </c>
      <c r="H630" s="304">
        <f t="shared" si="86"/>
        <v>678.58400000000006</v>
      </c>
      <c r="I630" s="304">
        <f t="shared" si="87"/>
        <v>679</v>
      </c>
      <c r="L630" s="195"/>
    </row>
    <row r="631" spans="1:12" customFormat="1" outlineLevel="2" x14ac:dyDescent="0.2">
      <c r="A631" s="214" t="s">
        <v>3504</v>
      </c>
      <c r="B631" s="70" t="s">
        <v>772</v>
      </c>
      <c r="C631" s="213" t="s">
        <v>766</v>
      </c>
      <c r="D631" s="118">
        <f t="shared" si="84"/>
        <v>846.66666666666663</v>
      </c>
      <c r="E631" s="118">
        <f t="shared" si="85"/>
        <v>169.33333333333337</v>
      </c>
      <c r="F631" s="118">
        <f t="shared" si="76"/>
        <v>1016</v>
      </c>
      <c r="G631" s="118">
        <v>937</v>
      </c>
      <c r="H631" s="304">
        <f t="shared" si="86"/>
        <v>1015.7080000000001</v>
      </c>
      <c r="I631" s="304">
        <f t="shared" si="87"/>
        <v>1016</v>
      </c>
      <c r="L631" s="195"/>
    </row>
    <row r="632" spans="1:12" customFormat="1" outlineLevel="2" x14ac:dyDescent="0.2">
      <c r="A632" s="214" t="s">
        <v>3505</v>
      </c>
      <c r="B632" s="70" t="s">
        <v>773</v>
      </c>
      <c r="C632" s="213" t="s">
        <v>766</v>
      </c>
      <c r="D632" s="118">
        <f t="shared" si="84"/>
        <v>1271.6666666666665</v>
      </c>
      <c r="E632" s="118">
        <f t="shared" si="85"/>
        <v>254.33333333333337</v>
      </c>
      <c r="F632" s="118">
        <f t="shared" si="76"/>
        <v>1526</v>
      </c>
      <c r="G632" s="118">
        <v>1408</v>
      </c>
      <c r="H632" s="304">
        <f t="shared" si="86"/>
        <v>1526.2720000000002</v>
      </c>
      <c r="I632" s="304">
        <f t="shared" si="87"/>
        <v>1526</v>
      </c>
      <c r="L632" s="195"/>
    </row>
    <row r="633" spans="1:12" customFormat="1" outlineLevel="1" x14ac:dyDescent="0.2">
      <c r="A633" s="25" t="s">
        <v>2500</v>
      </c>
      <c r="B633" s="70" t="s">
        <v>774</v>
      </c>
      <c r="C633" s="107"/>
      <c r="D633" s="118"/>
      <c r="E633" s="118"/>
      <c r="F633" s="118"/>
      <c r="G633" s="118"/>
      <c r="H633" s="304">
        <f t="shared" si="86"/>
        <v>0</v>
      </c>
      <c r="I633" s="304">
        <f t="shared" si="87"/>
        <v>0</v>
      </c>
      <c r="L633" s="195"/>
    </row>
    <row r="634" spans="1:12" customFormat="1" outlineLevel="2" x14ac:dyDescent="0.2">
      <c r="A634" s="214" t="s">
        <v>3506</v>
      </c>
      <c r="B634" s="70" t="s">
        <v>775</v>
      </c>
      <c r="C634" s="213" t="s">
        <v>487</v>
      </c>
      <c r="D634" s="118">
        <f t="shared" si="84"/>
        <v>140.83333333333331</v>
      </c>
      <c r="E634" s="118">
        <f t="shared" si="85"/>
        <v>28.166666666666671</v>
      </c>
      <c r="F634" s="118">
        <f t="shared" si="76"/>
        <v>169</v>
      </c>
      <c r="G634" s="118">
        <v>156</v>
      </c>
      <c r="H634" s="304">
        <f t="shared" si="86"/>
        <v>169.10400000000001</v>
      </c>
      <c r="I634" s="304">
        <f t="shared" si="87"/>
        <v>169</v>
      </c>
      <c r="L634" s="195"/>
    </row>
    <row r="635" spans="1:12" customFormat="1" outlineLevel="2" x14ac:dyDescent="0.2">
      <c r="A635" s="214" t="s">
        <v>3507</v>
      </c>
      <c r="B635" s="70" t="s">
        <v>776</v>
      </c>
      <c r="C635" s="213" t="s">
        <v>487</v>
      </c>
      <c r="D635" s="118">
        <f t="shared" si="84"/>
        <v>763.33333333333326</v>
      </c>
      <c r="E635" s="118">
        <f t="shared" si="85"/>
        <v>152.66666666666669</v>
      </c>
      <c r="F635" s="118">
        <f t="shared" si="76"/>
        <v>916</v>
      </c>
      <c r="G635" s="118">
        <v>845</v>
      </c>
      <c r="H635" s="304">
        <f t="shared" si="86"/>
        <v>915.98</v>
      </c>
      <c r="I635" s="304">
        <f t="shared" si="87"/>
        <v>916</v>
      </c>
      <c r="L635" s="195"/>
    </row>
    <row r="636" spans="1:12" customFormat="1" outlineLevel="2" x14ac:dyDescent="0.2">
      <c r="A636" s="214" t="s">
        <v>3508</v>
      </c>
      <c r="B636" s="70" t="s">
        <v>777</v>
      </c>
      <c r="C636" s="213" t="s">
        <v>487</v>
      </c>
      <c r="D636" s="118">
        <f t="shared" si="84"/>
        <v>1271.6666666666665</v>
      </c>
      <c r="E636" s="118">
        <f t="shared" si="85"/>
        <v>254.33333333333337</v>
      </c>
      <c r="F636" s="118">
        <f t="shared" si="76"/>
        <v>1526</v>
      </c>
      <c r="G636" s="118">
        <v>1408</v>
      </c>
      <c r="H636" s="304">
        <f t="shared" si="86"/>
        <v>1526.2720000000002</v>
      </c>
      <c r="I636" s="304">
        <f t="shared" si="87"/>
        <v>1526</v>
      </c>
      <c r="L636" s="195"/>
    </row>
    <row r="637" spans="1:12" customFormat="1" outlineLevel="2" x14ac:dyDescent="0.2">
      <c r="A637" s="214" t="s">
        <v>3509</v>
      </c>
      <c r="B637" s="70" t="s">
        <v>778</v>
      </c>
      <c r="C637" s="213" t="s">
        <v>487</v>
      </c>
      <c r="D637" s="118">
        <f t="shared" si="84"/>
        <v>2260</v>
      </c>
      <c r="E637" s="118">
        <f t="shared" si="85"/>
        <v>452</v>
      </c>
      <c r="F637" s="118">
        <f t="shared" si="76"/>
        <v>2712</v>
      </c>
      <c r="G637" s="118">
        <v>2502</v>
      </c>
      <c r="H637" s="304">
        <f t="shared" si="86"/>
        <v>2712.1680000000001</v>
      </c>
      <c r="I637" s="304">
        <f t="shared" si="87"/>
        <v>2712</v>
      </c>
      <c r="L637" s="195"/>
    </row>
    <row r="638" spans="1:12" customFormat="1" outlineLevel="2" x14ac:dyDescent="0.2">
      <c r="A638" s="214" t="s">
        <v>3510</v>
      </c>
      <c r="B638" s="70" t="s">
        <v>779</v>
      </c>
      <c r="C638" s="213" t="s">
        <v>487</v>
      </c>
      <c r="D638" s="118">
        <f t="shared" si="84"/>
        <v>3673.333333333333</v>
      </c>
      <c r="E638" s="118">
        <f t="shared" si="85"/>
        <v>734.66666666666674</v>
      </c>
      <c r="F638" s="118">
        <f t="shared" si="76"/>
        <v>4408</v>
      </c>
      <c r="G638" s="118">
        <v>4066</v>
      </c>
      <c r="H638" s="304">
        <f t="shared" si="86"/>
        <v>4407.5439999999999</v>
      </c>
      <c r="I638" s="304">
        <f t="shared" si="87"/>
        <v>4408</v>
      </c>
      <c r="L638" s="195"/>
    </row>
    <row r="639" spans="1:12" customFormat="1" outlineLevel="2" x14ac:dyDescent="0.2">
      <c r="A639" s="214" t="s">
        <v>3511</v>
      </c>
      <c r="B639" s="70" t="s">
        <v>780</v>
      </c>
      <c r="C639" s="107" t="s">
        <v>781</v>
      </c>
      <c r="D639" s="118">
        <f t="shared" si="84"/>
        <v>140.83333333333331</v>
      </c>
      <c r="E639" s="118">
        <f t="shared" si="85"/>
        <v>28.166666666666671</v>
      </c>
      <c r="F639" s="118">
        <f t="shared" si="76"/>
        <v>169</v>
      </c>
      <c r="G639" s="118">
        <v>156</v>
      </c>
      <c r="H639" s="304">
        <f t="shared" si="86"/>
        <v>169.10400000000001</v>
      </c>
      <c r="I639" s="304">
        <f t="shared" si="87"/>
        <v>169</v>
      </c>
      <c r="L639" s="195"/>
    </row>
    <row r="640" spans="1:12" customFormat="1" outlineLevel="1" x14ac:dyDescent="0.2">
      <c r="A640" s="25" t="s">
        <v>2501</v>
      </c>
      <c r="B640" s="70" t="s">
        <v>783</v>
      </c>
      <c r="C640" s="107"/>
      <c r="D640" s="118"/>
      <c r="E640" s="118"/>
      <c r="F640" s="118"/>
      <c r="G640" s="118"/>
      <c r="H640" s="304">
        <f t="shared" si="86"/>
        <v>0</v>
      </c>
      <c r="I640" s="304">
        <f t="shared" si="87"/>
        <v>0</v>
      </c>
      <c r="L640" s="195"/>
    </row>
    <row r="641" spans="1:12" customFormat="1" outlineLevel="2" x14ac:dyDescent="0.2">
      <c r="A641" s="214" t="s">
        <v>2515</v>
      </c>
      <c r="B641" s="70" t="s">
        <v>784</v>
      </c>
      <c r="C641" s="107" t="s">
        <v>785</v>
      </c>
      <c r="D641" s="118">
        <f t="shared" si="84"/>
        <v>35</v>
      </c>
      <c r="E641" s="118">
        <f t="shared" si="85"/>
        <v>7</v>
      </c>
      <c r="F641" s="118">
        <f t="shared" si="76"/>
        <v>42</v>
      </c>
      <c r="G641" s="118">
        <v>39</v>
      </c>
      <c r="H641" s="304">
        <f t="shared" si="86"/>
        <v>42.276000000000003</v>
      </c>
      <c r="I641" s="304">
        <f t="shared" si="87"/>
        <v>42</v>
      </c>
      <c r="L641" s="195"/>
    </row>
    <row r="642" spans="1:12" customFormat="1" outlineLevel="2" x14ac:dyDescent="0.2">
      <c r="A642" s="214" t="s">
        <v>2516</v>
      </c>
      <c r="B642" s="70" t="s">
        <v>786</v>
      </c>
      <c r="C642" s="107" t="s">
        <v>787</v>
      </c>
      <c r="D642" s="118">
        <f t="shared" si="84"/>
        <v>1643.3333333333333</v>
      </c>
      <c r="E642" s="118">
        <f t="shared" si="85"/>
        <v>328.66666666666674</v>
      </c>
      <c r="F642" s="118">
        <f t="shared" si="76"/>
        <v>1972</v>
      </c>
      <c r="G642" s="118">
        <v>1819</v>
      </c>
      <c r="H642" s="304">
        <f t="shared" si="86"/>
        <v>1971.796</v>
      </c>
      <c r="I642" s="304">
        <f t="shared" si="87"/>
        <v>1972</v>
      </c>
      <c r="L642" s="195"/>
    </row>
    <row r="643" spans="1:12" customFormat="1" outlineLevel="2" x14ac:dyDescent="0.2">
      <c r="A643" s="214" t="s">
        <v>2517</v>
      </c>
      <c r="B643" s="70" t="s">
        <v>788</v>
      </c>
      <c r="C643" s="107" t="s">
        <v>787</v>
      </c>
      <c r="D643" s="118">
        <f t="shared" si="84"/>
        <v>94.166666666666657</v>
      </c>
      <c r="E643" s="118">
        <f t="shared" si="85"/>
        <v>18.833333333333336</v>
      </c>
      <c r="F643" s="118">
        <f t="shared" si="76"/>
        <v>113</v>
      </c>
      <c r="G643" s="118">
        <v>104</v>
      </c>
      <c r="H643" s="304">
        <f t="shared" si="86"/>
        <v>112.736</v>
      </c>
      <c r="I643" s="304">
        <f t="shared" si="87"/>
        <v>113</v>
      </c>
      <c r="L643" s="195"/>
    </row>
    <row r="644" spans="1:12" customFormat="1" ht="31.5" outlineLevel="2" x14ac:dyDescent="0.2">
      <c r="A644" s="214" t="s">
        <v>2518</v>
      </c>
      <c r="B644" s="70" t="s">
        <v>3265</v>
      </c>
      <c r="C644" s="107" t="s">
        <v>790</v>
      </c>
      <c r="D644" s="118">
        <f t="shared" si="84"/>
        <v>6.6666666666666661</v>
      </c>
      <c r="E644" s="118">
        <f t="shared" si="85"/>
        <v>1.3333333333333335</v>
      </c>
      <c r="F644" s="118">
        <f t="shared" si="76"/>
        <v>8</v>
      </c>
      <c r="G644" s="118">
        <v>7</v>
      </c>
      <c r="H644" s="304">
        <f t="shared" si="86"/>
        <v>7.588000000000001</v>
      </c>
      <c r="I644" s="304">
        <f t="shared" si="87"/>
        <v>8</v>
      </c>
      <c r="L644" s="195"/>
    </row>
    <row r="645" spans="1:12" customFormat="1" ht="31.5" outlineLevel="2" x14ac:dyDescent="0.2">
      <c r="A645" s="214" t="s">
        <v>2519</v>
      </c>
      <c r="B645" s="70" t="s">
        <v>3266</v>
      </c>
      <c r="C645" s="107" t="s">
        <v>792</v>
      </c>
      <c r="D645" s="118">
        <f t="shared" si="84"/>
        <v>19258.333333333332</v>
      </c>
      <c r="E645" s="118">
        <f t="shared" si="85"/>
        <v>3851.6666666666674</v>
      </c>
      <c r="F645" s="118">
        <f t="shared" si="76"/>
        <v>23110</v>
      </c>
      <c r="G645" s="118">
        <v>21319</v>
      </c>
      <c r="H645" s="304">
        <f t="shared" si="86"/>
        <v>23109.796000000002</v>
      </c>
      <c r="I645" s="304">
        <f t="shared" si="87"/>
        <v>23110</v>
      </c>
      <c r="L645" s="195"/>
    </row>
    <row r="646" spans="1:12" customFormat="1" ht="31.5" outlineLevel="2" x14ac:dyDescent="0.2">
      <c r="A646" s="214" t="s">
        <v>3512</v>
      </c>
      <c r="B646" s="70" t="s">
        <v>3267</v>
      </c>
      <c r="C646" s="107" t="s">
        <v>794</v>
      </c>
      <c r="D646" s="118">
        <f t="shared" si="84"/>
        <v>360.83333333333331</v>
      </c>
      <c r="E646" s="118">
        <f t="shared" si="85"/>
        <v>72.166666666666671</v>
      </c>
      <c r="F646" s="118">
        <f t="shared" si="76"/>
        <v>433</v>
      </c>
      <c r="G646" s="118">
        <v>399</v>
      </c>
      <c r="H646" s="304">
        <f t="shared" si="86"/>
        <v>432.51600000000002</v>
      </c>
      <c r="I646" s="304">
        <f t="shared" si="87"/>
        <v>433</v>
      </c>
      <c r="L646" s="195"/>
    </row>
    <row r="647" spans="1:12" customFormat="1" outlineLevel="1" collapsed="1" x14ac:dyDescent="0.2">
      <c r="A647" s="25" t="s">
        <v>2502</v>
      </c>
      <c r="B647" s="70" t="s">
        <v>795</v>
      </c>
      <c r="C647" s="87" t="s">
        <v>756</v>
      </c>
      <c r="D647" s="118"/>
      <c r="E647" s="118"/>
      <c r="F647" s="118"/>
      <c r="G647" s="118"/>
      <c r="H647" s="304">
        <f t="shared" si="86"/>
        <v>0</v>
      </c>
      <c r="I647" s="304">
        <f t="shared" si="87"/>
        <v>0</v>
      </c>
      <c r="L647" s="195"/>
    </row>
    <row r="648" spans="1:12" customFormat="1" hidden="1" outlineLevel="2" x14ac:dyDescent="0.2">
      <c r="A648" s="214" t="s">
        <v>2526</v>
      </c>
      <c r="B648" s="237" t="s">
        <v>796</v>
      </c>
      <c r="C648" s="245" t="s">
        <v>797</v>
      </c>
      <c r="D648" s="118">
        <f t="shared" si="84"/>
        <v>301.66666666666663</v>
      </c>
      <c r="E648" s="118">
        <f t="shared" si="85"/>
        <v>60.333333333333343</v>
      </c>
      <c r="F648" s="118">
        <f t="shared" si="76"/>
        <v>362</v>
      </c>
      <c r="G648" s="239">
        <v>334</v>
      </c>
      <c r="H648" s="304">
        <f t="shared" si="86"/>
        <v>362.05600000000004</v>
      </c>
      <c r="I648" s="304">
        <f t="shared" si="87"/>
        <v>362</v>
      </c>
      <c r="K648" t="s">
        <v>3173</v>
      </c>
      <c r="L648" s="195"/>
    </row>
    <row r="649" spans="1:12" customFormat="1" hidden="1" outlineLevel="2" x14ac:dyDescent="0.2">
      <c r="A649" s="214" t="s">
        <v>2527</v>
      </c>
      <c r="B649" s="237" t="s">
        <v>798</v>
      </c>
      <c r="C649" s="245" t="s">
        <v>799</v>
      </c>
      <c r="D649" s="118">
        <f t="shared" si="84"/>
        <v>604.16666666666663</v>
      </c>
      <c r="E649" s="118">
        <f t="shared" si="85"/>
        <v>120.83333333333336</v>
      </c>
      <c r="F649" s="118">
        <f t="shared" si="76"/>
        <v>725</v>
      </c>
      <c r="G649" s="239">
        <v>669</v>
      </c>
      <c r="H649" s="304">
        <f t="shared" si="86"/>
        <v>725.19600000000003</v>
      </c>
      <c r="I649" s="304">
        <f t="shared" si="87"/>
        <v>725</v>
      </c>
      <c r="L649" s="195"/>
    </row>
    <row r="650" spans="1:12" customFormat="1" outlineLevel="2" x14ac:dyDescent="0.2">
      <c r="A650" s="214" t="s">
        <v>2520</v>
      </c>
      <c r="B650" s="181" t="s">
        <v>796</v>
      </c>
      <c r="C650" s="261" t="s">
        <v>797</v>
      </c>
      <c r="D650" s="118">
        <f t="shared" si="84"/>
        <v>587.5</v>
      </c>
      <c r="E650" s="118">
        <f t="shared" si="85"/>
        <v>117.5</v>
      </c>
      <c r="F650" s="118">
        <f t="shared" si="76"/>
        <v>705</v>
      </c>
      <c r="G650" s="252">
        <v>650</v>
      </c>
      <c r="H650" s="304">
        <f t="shared" si="86"/>
        <v>704.6</v>
      </c>
      <c r="I650" s="304">
        <f t="shared" si="87"/>
        <v>705</v>
      </c>
      <c r="K650" t="s">
        <v>3174</v>
      </c>
      <c r="L650" s="195"/>
    </row>
    <row r="651" spans="1:12" customFormat="1" outlineLevel="2" x14ac:dyDescent="0.2">
      <c r="A651" s="214" t="s">
        <v>2521</v>
      </c>
      <c r="B651" s="181" t="s">
        <v>798</v>
      </c>
      <c r="C651" s="261" t="s">
        <v>799</v>
      </c>
      <c r="D651" s="118">
        <f t="shared" si="84"/>
        <v>1129.1666666666665</v>
      </c>
      <c r="E651" s="118">
        <f t="shared" si="85"/>
        <v>225.83333333333337</v>
      </c>
      <c r="F651" s="118">
        <f t="shared" si="76"/>
        <v>1355</v>
      </c>
      <c r="G651" s="252">
        <v>1250</v>
      </c>
      <c r="H651" s="304">
        <f t="shared" si="86"/>
        <v>1355</v>
      </c>
      <c r="I651" s="304">
        <f t="shared" si="87"/>
        <v>1355</v>
      </c>
      <c r="L651" s="195"/>
    </row>
    <row r="652" spans="1:12" customFormat="1" outlineLevel="1" x14ac:dyDescent="0.2">
      <c r="A652" s="209" t="s">
        <v>2503</v>
      </c>
      <c r="B652" s="70" t="s">
        <v>800</v>
      </c>
      <c r="C652" s="234"/>
      <c r="D652" s="118"/>
      <c r="E652" s="118"/>
      <c r="F652" s="118"/>
      <c r="G652" s="243"/>
      <c r="H652" s="304">
        <f t="shared" si="86"/>
        <v>0</v>
      </c>
      <c r="I652" s="304">
        <f t="shared" si="87"/>
        <v>0</v>
      </c>
      <c r="L652" s="195"/>
    </row>
    <row r="653" spans="1:12" customFormat="1" outlineLevel="2" x14ac:dyDescent="0.2">
      <c r="A653" s="214" t="s">
        <v>2522</v>
      </c>
      <c r="B653" s="70" t="s">
        <v>776</v>
      </c>
      <c r="C653" s="213" t="s">
        <v>487</v>
      </c>
      <c r="D653" s="118">
        <f t="shared" si="84"/>
        <v>3100</v>
      </c>
      <c r="E653" s="118">
        <f t="shared" si="85"/>
        <v>620</v>
      </c>
      <c r="F653" s="118">
        <f t="shared" si="76"/>
        <v>3720</v>
      </c>
      <c r="G653" s="123">
        <v>3432</v>
      </c>
      <c r="H653" s="304">
        <f t="shared" si="86"/>
        <v>3720.2880000000005</v>
      </c>
      <c r="I653" s="304">
        <f t="shared" si="87"/>
        <v>3720</v>
      </c>
      <c r="L653" s="195"/>
    </row>
    <row r="654" spans="1:12" customFormat="1" outlineLevel="2" x14ac:dyDescent="0.2">
      <c r="A654" s="214" t="s">
        <v>2523</v>
      </c>
      <c r="B654" s="70" t="s">
        <v>777</v>
      </c>
      <c r="C654" s="213" t="s">
        <v>487</v>
      </c>
      <c r="D654" s="118">
        <f t="shared" si="84"/>
        <v>3279.1666666666665</v>
      </c>
      <c r="E654" s="118">
        <f t="shared" si="85"/>
        <v>655.83333333333348</v>
      </c>
      <c r="F654" s="118">
        <f t="shared" si="76"/>
        <v>3935</v>
      </c>
      <c r="G654" s="123">
        <v>3630</v>
      </c>
      <c r="H654" s="304">
        <f t="shared" si="86"/>
        <v>3934.92</v>
      </c>
      <c r="I654" s="304">
        <f t="shared" si="87"/>
        <v>3935</v>
      </c>
      <c r="L654" s="195"/>
    </row>
    <row r="655" spans="1:12" customFormat="1" outlineLevel="2" x14ac:dyDescent="0.2">
      <c r="A655" s="214" t="s">
        <v>2524</v>
      </c>
      <c r="B655" s="70" t="s">
        <v>778</v>
      </c>
      <c r="C655" s="213" t="s">
        <v>487</v>
      </c>
      <c r="D655" s="118">
        <f t="shared" si="84"/>
        <v>4365</v>
      </c>
      <c r="E655" s="118">
        <f t="shared" si="85"/>
        <v>873</v>
      </c>
      <c r="F655" s="118">
        <f t="shared" si="76"/>
        <v>5238</v>
      </c>
      <c r="G655" s="123">
        <v>4832</v>
      </c>
      <c r="H655" s="304">
        <f t="shared" si="86"/>
        <v>5237.8879999999999</v>
      </c>
      <c r="I655" s="304">
        <f t="shared" si="87"/>
        <v>5238</v>
      </c>
      <c r="L655" s="195"/>
    </row>
    <row r="656" spans="1:12" customFormat="1" outlineLevel="2" x14ac:dyDescent="0.2">
      <c r="A656" s="214" t="s">
        <v>2525</v>
      </c>
      <c r="B656" s="70" t="s">
        <v>779</v>
      </c>
      <c r="C656" s="213" t="s">
        <v>487</v>
      </c>
      <c r="D656" s="118">
        <f t="shared" si="84"/>
        <v>5152.5</v>
      </c>
      <c r="E656" s="118">
        <f t="shared" si="85"/>
        <v>1030.5</v>
      </c>
      <c r="F656" s="118">
        <f t="shared" si="76"/>
        <v>6183</v>
      </c>
      <c r="G656" s="123">
        <v>5704</v>
      </c>
      <c r="H656" s="304">
        <f t="shared" si="86"/>
        <v>6183.1360000000004</v>
      </c>
      <c r="I656" s="304">
        <f t="shared" si="87"/>
        <v>6183</v>
      </c>
      <c r="L656" s="195"/>
    </row>
    <row r="657" spans="1:12" s="84" customFormat="1" outlineLevel="1" x14ac:dyDescent="0.25">
      <c r="A657" s="25" t="s">
        <v>2504</v>
      </c>
      <c r="B657" s="70" t="s">
        <v>811</v>
      </c>
      <c r="C657" s="87" t="s">
        <v>487</v>
      </c>
      <c r="D657" s="118">
        <f t="shared" si="84"/>
        <v>130.83333333333331</v>
      </c>
      <c r="E657" s="118">
        <f t="shared" si="85"/>
        <v>26.166666666666671</v>
      </c>
      <c r="F657" s="118">
        <f t="shared" si="76"/>
        <v>157</v>
      </c>
      <c r="G657" s="118">
        <v>145</v>
      </c>
      <c r="H657" s="304">
        <f t="shared" si="86"/>
        <v>157.18</v>
      </c>
      <c r="I657" s="304">
        <f t="shared" si="87"/>
        <v>157</v>
      </c>
      <c r="L657" s="196"/>
    </row>
    <row r="658" spans="1:12" s="84" customFormat="1" outlineLevel="1" x14ac:dyDescent="0.25">
      <c r="A658" s="25" t="s">
        <v>2505</v>
      </c>
      <c r="B658" s="70" t="s">
        <v>812</v>
      </c>
      <c r="C658" s="87" t="s">
        <v>543</v>
      </c>
      <c r="D658" s="118">
        <f t="shared" si="84"/>
        <v>150.83333333333331</v>
      </c>
      <c r="E658" s="118">
        <f t="shared" si="85"/>
        <v>30.166666666666671</v>
      </c>
      <c r="F658" s="118">
        <f t="shared" si="76"/>
        <v>181</v>
      </c>
      <c r="G658" s="118">
        <v>167</v>
      </c>
      <c r="H658" s="304">
        <f t="shared" si="86"/>
        <v>181.02800000000002</v>
      </c>
      <c r="I658" s="304">
        <f t="shared" si="87"/>
        <v>181</v>
      </c>
      <c r="L658" s="196"/>
    </row>
    <row r="659" spans="1:12" s="84" customFormat="1" outlineLevel="1" x14ac:dyDescent="0.25">
      <c r="A659" s="25" t="s">
        <v>3513</v>
      </c>
      <c r="B659" s="70" t="s">
        <v>813</v>
      </c>
      <c r="C659" s="87" t="s">
        <v>543</v>
      </c>
      <c r="D659" s="118">
        <f t="shared" si="84"/>
        <v>627.5</v>
      </c>
      <c r="E659" s="118">
        <f t="shared" si="85"/>
        <v>125.5</v>
      </c>
      <c r="F659" s="118">
        <f t="shared" si="76"/>
        <v>753</v>
      </c>
      <c r="G659" s="118">
        <v>695</v>
      </c>
      <c r="H659" s="304">
        <f t="shared" si="86"/>
        <v>753.38</v>
      </c>
      <c r="I659" s="304">
        <f t="shared" si="87"/>
        <v>753</v>
      </c>
      <c r="L659" s="196"/>
    </row>
    <row r="660" spans="1:12" customFormat="1" outlineLevel="1" x14ac:dyDescent="0.2">
      <c r="A660" s="25" t="s">
        <v>2506</v>
      </c>
      <c r="B660" s="70" t="s">
        <v>1492</v>
      </c>
      <c r="C660" s="147"/>
      <c r="D660" s="118"/>
      <c r="E660" s="118"/>
      <c r="F660" s="118"/>
      <c r="G660" s="118"/>
      <c r="H660" s="304">
        <f t="shared" si="86"/>
        <v>0</v>
      </c>
      <c r="I660" s="304">
        <f t="shared" si="87"/>
        <v>0</v>
      </c>
      <c r="L660" s="195"/>
    </row>
    <row r="661" spans="1:12" customFormat="1" outlineLevel="2" x14ac:dyDescent="0.2">
      <c r="A661" s="214" t="s">
        <v>3514</v>
      </c>
      <c r="B661" s="70" t="s">
        <v>644</v>
      </c>
      <c r="C661" s="213" t="s">
        <v>543</v>
      </c>
      <c r="D661" s="118">
        <f t="shared" si="84"/>
        <v>1510</v>
      </c>
      <c r="E661" s="118">
        <f t="shared" si="85"/>
        <v>302</v>
      </c>
      <c r="F661" s="118">
        <f t="shared" si="76"/>
        <v>1812</v>
      </c>
      <c r="G661" s="118">
        <v>1672</v>
      </c>
      <c r="H661" s="304">
        <f t="shared" si="86"/>
        <v>1812.4480000000001</v>
      </c>
      <c r="I661" s="304">
        <f t="shared" si="87"/>
        <v>1812</v>
      </c>
      <c r="L661" s="195"/>
    </row>
    <row r="662" spans="1:12" customFormat="1" outlineLevel="2" x14ac:dyDescent="0.2">
      <c r="A662" s="214" t="s">
        <v>3515</v>
      </c>
      <c r="B662" s="70" t="s">
        <v>645</v>
      </c>
      <c r="C662" s="213" t="s">
        <v>543</v>
      </c>
      <c r="D662" s="118">
        <f t="shared" si="84"/>
        <v>2450.833333333333</v>
      </c>
      <c r="E662" s="118">
        <f t="shared" si="85"/>
        <v>490.16666666666674</v>
      </c>
      <c r="F662" s="118">
        <f t="shared" si="76"/>
        <v>2941</v>
      </c>
      <c r="G662" s="118">
        <v>2713</v>
      </c>
      <c r="H662" s="304">
        <f t="shared" si="86"/>
        <v>2940.8920000000003</v>
      </c>
      <c r="I662" s="304">
        <f t="shared" si="87"/>
        <v>2941</v>
      </c>
      <c r="L662" s="195"/>
    </row>
    <row r="663" spans="1:12" customFormat="1" outlineLevel="1" x14ac:dyDescent="0.2">
      <c r="A663" s="25" t="s">
        <v>2507</v>
      </c>
      <c r="B663" s="145" t="s">
        <v>1589</v>
      </c>
      <c r="C663" s="157" t="s">
        <v>543</v>
      </c>
      <c r="D663" s="118">
        <f t="shared" si="84"/>
        <v>375</v>
      </c>
      <c r="E663" s="118">
        <f t="shared" si="85"/>
        <v>75</v>
      </c>
      <c r="F663" s="118">
        <f t="shared" ref="F663:F679" si="90">I663</f>
        <v>450</v>
      </c>
      <c r="G663" s="118">
        <v>415</v>
      </c>
      <c r="H663" s="304">
        <f t="shared" si="86"/>
        <v>449.86</v>
      </c>
      <c r="I663" s="304">
        <f t="shared" si="87"/>
        <v>450</v>
      </c>
      <c r="L663" s="195"/>
    </row>
    <row r="664" spans="1:12" customFormat="1" outlineLevel="1" x14ac:dyDescent="0.2">
      <c r="A664" s="25" t="s">
        <v>2508</v>
      </c>
      <c r="B664" s="70" t="s">
        <v>1538</v>
      </c>
      <c r="C664" s="153" t="s">
        <v>543</v>
      </c>
      <c r="D664" s="118">
        <f t="shared" si="84"/>
        <v>94.166666666666657</v>
      </c>
      <c r="E664" s="118">
        <f t="shared" si="85"/>
        <v>18.833333333333336</v>
      </c>
      <c r="F664" s="118">
        <f t="shared" si="90"/>
        <v>113</v>
      </c>
      <c r="G664" s="118">
        <v>104</v>
      </c>
      <c r="H664" s="304">
        <f t="shared" si="86"/>
        <v>112.736</v>
      </c>
      <c r="I664" s="304">
        <f t="shared" si="87"/>
        <v>113</v>
      </c>
      <c r="L664" s="195"/>
    </row>
    <row r="665" spans="1:12" customFormat="1" outlineLevel="1" x14ac:dyDescent="0.2">
      <c r="A665" s="25" t="s">
        <v>2509</v>
      </c>
      <c r="B665" s="145" t="s">
        <v>2169</v>
      </c>
      <c r="C665" s="157" t="s">
        <v>1590</v>
      </c>
      <c r="D665" s="118">
        <f t="shared" si="84"/>
        <v>75</v>
      </c>
      <c r="E665" s="118">
        <f t="shared" si="85"/>
        <v>15</v>
      </c>
      <c r="F665" s="118">
        <f t="shared" si="90"/>
        <v>90</v>
      </c>
      <c r="G665" s="118">
        <v>83</v>
      </c>
      <c r="H665" s="304">
        <f t="shared" si="86"/>
        <v>89.972000000000008</v>
      </c>
      <c r="I665" s="304">
        <f t="shared" si="87"/>
        <v>90</v>
      </c>
      <c r="L665" s="195"/>
    </row>
    <row r="666" spans="1:12" customFormat="1" outlineLevel="1" x14ac:dyDescent="0.2">
      <c r="A666" s="25" t="s">
        <v>2510</v>
      </c>
      <c r="B666" s="70" t="s">
        <v>1557</v>
      </c>
      <c r="C666" s="155"/>
      <c r="D666" s="118"/>
      <c r="E666" s="118"/>
      <c r="F666" s="118"/>
      <c r="G666" s="118"/>
      <c r="H666" s="304">
        <f t="shared" si="86"/>
        <v>0</v>
      </c>
      <c r="I666" s="304">
        <f t="shared" si="87"/>
        <v>0</v>
      </c>
      <c r="L666" s="195"/>
    </row>
    <row r="667" spans="1:12" customFormat="1" outlineLevel="2" x14ac:dyDescent="0.2">
      <c r="A667" s="214" t="s">
        <v>3516</v>
      </c>
      <c r="B667" s="70" t="s">
        <v>1558</v>
      </c>
      <c r="C667" s="213" t="s">
        <v>543</v>
      </c>
      <c r="D667" s="118">
        <f t="shared" si="84"/>
        <v>402.5</v>
      </c>
      <c r="E667" s="118">
        <f t="shared" si="85"/>
        <v>80.5</v>
      </c>
      <c r="F667" s="118">
        <f t="shared" si="90"/>
        <v>483</v>
      </c>
      <c r="G667" s="118">
        <v>446</v>
      </c>
      <c r="H667" s="304">
        <f t="shared" si="86"/>
        <v>483.46400000000006</v>
      </c>
      <c r="I667" s="304">
        <f t="shared" si="87"/>
        <v>483</v>
      </c>
      <c r="L667" s="195"/>
    </row>
    <row r="668" spans="1:12" customFormat="1" outlineLevel="2" x14ac:dyDescent="0.2">
      <c r="A668" s="214" t="s">
        <v>3517</v>
      </c>
      <c r="B668" s="70" t="s">
        <v>1559</v>
      </c>
      <c r="C668" s="213" t="s">
        <v>543</v>
      </c>
      <c r="D668" s="118">
        <f t="shared" si="84"/>
        <v>477.5</v>
      </c>
      <c r="E668" s="118">
        <f t="shared" si="85"/>
        <v>95.5</v>
      </c>
      <c r="F668" s="118">
        <f t="shared" si="90"/>
        <v>573</v>
      </c>
      <c r="G668" s="118">
        <v>529</v>
      </c>
      <c r="H668" s="304">
        <f t="shared" si="86"/>
        <v>573.43600000000004</v>
      </c>
      <c r="I668" s="304">
        <f t="shared" si="87"/>
        <v>573</v>
      </c>
      <c r="L668" s="195"/>
    </row>
    <row r="669" spans="1:12" customFormat="1" outlineLevel="2" x14ac:dyDescent="0.2">
      <c r="A669" s="214" t="s">
        <v>3518</v>
      </c>
      <c r="B669" s="70" t="s">
        <v>1560</v>
      </c>
      <c r="C669" s="213" t="s">
        <v>543</v>
      </c>
      <c r="D669" s="118">
        <f t="shared" si="84"/>
        <v>861.66666666666663</v>
      </c>
      <c r="E669" s="118">
        <f t="shared" si="85"/>
        <v>172.33333333333337</v>
      </c>
      <c r="F669" s="118">
        <f t="shared" si="90"/>
        <v>1034</v>
      </c>
      <c r="G669" s="118">
        <v>954</v>
      </c>
      <c r="H669" s="304">
        <f t="shared" si="86"/>
        <v>1034.136</v>
      </c>
      <c r="I669" s="304">
        <f t="shared" si="87"/>
        <v>1034</v>
      </c>
      <c r="L669" s="195"/>
    </row>
    <row r="670" spans="1:12" customFormat="1" outlineLevel="1" x14ac:dyDescent="0.2">
      <c r="A670" s="25" t="s">
        <v>2511</v>
      </c>
      <c r="B670" s="145" t="s">
        <v>1591</v>
      </c>
      <c r="C670" s="157" t="s">
        <v>549</v>
      </c>
      <c r="D670" s="118">
        <f t="shared" si="84"/>
        <v>0</v>
      </c>
      <c r="E670" s="118">
        <f t="shared" si="85"/>
        <v>0</v>
      </c>
      <c r="F670" s="118">
        <f t="shared" si="90"/>
        <v>0</v>
      </c>
      <c r="G670" s="118"/>
      <c r="H670" s="304">
        <f t="shared" si="86"/>
        <v>0</v>
      </c>
      <c r="I670" s="304">
        <f t="shared" si="87"/>
        <v>0</v>
      </c>
      <c r="L670" s="195"/>
    </row>
    <row r="671" spans="1:12" customFormat="1" outlineLevel="2" x14ac:dyDescent="0.2">
      <c r="A671" s="214" t="s">
        <v>3519</v>
      </c>
      <c r="B671" s="70" t="s">
        <v>1558</v>
      </c>
      <c r="C671" s="213" t="s">
        <v>549</v>
      </c>
      <c r="D671" s="118">
        <f t="shared" si="84"/>
        <v>1967.5</v>
      </c>
      <c r="E671" s="118">
        <f t="shared" si="85"/>
        <v>393.5</v>
      </c>
      <c r="F671" s="118">
        <f t="shared" si="90"/>
        <v>2361</v>
      </c>
      <c r="G671" s="118">
        <v>2178</v>
      </c>
      <c r="H671" s="304">
        <f t="shared" si="86"/>
        <v>2360.9520000000002</v>
      </c>
      <c r="I671" s="304">
        <f t="shared" si="87"/>
        <v>2361</v>
      </c>
      <c r="L671" s="195"/>
    </row>
    <row r="672" spans="1:12" customFormat="1" outlineLevel="2" x14ac:dyDescent="0.2">
      <c r="A672" s="214" t="s">
        <v>3520</v>
      </c>
      <c r="B672" s="70" t="s">
        <v>1559</v>
      </c>
      <c r="C672" s="213" t="s">
        <v>549</v>
      </c>
      <c r="D672" s="118">
        <f t="shared" si="84"/>
        <v>2051.6666666666665</v>
      </c>
      <c r="E672" s="118">
        <f t="shared" si="85"/>
        <v>410.33333333333343</v>
      </c>
      <c r="F672" s="118">
        <f t="shared" si="90"/>
        <v>2462</v>
      </c>
      <c r="G672" s="118">
        <v>2271</v>
      </c>
      <c r="H672" s="304">
        <f t="shared" si="86"/>
        <v>2461.7640000000001</v>
      </c>
      <c r="I672" s="304">
        <f t="shared" si="87"/>
        <v>2462</v>
      </c>
      <c r="L672" s="195"/>
    </row>
    <row r="673" spans="1:12" customFormat="1" outlineLevel="2" x14ac:dyDescent="0.2">
      <c r="A673" s="214" t="s">
        <v>3521</v>
      </c>
      <c r="B673" s="70" t="s">
        <v>1560</v>
      </c>
      <c r="C673" s="213" t="s">
        <v>549</v>
      </c>
      <c r="D673" s="118">
        <f t="shared" si="84"/>
        <v>2435</v>
      </c>
      <c r="E673" s="118">
        <f t="shared" si="85"/>
        <v>487</v>
      </c>
      <c r="F673" s="118">
        <f t="shared" si="90"/>
        <v>2922</v>
      </c>
      <c r="G673" s="118">
        <v>2696</v>
      </c>
      <c r="H673" s="304">
        <f t="shared" si="86"/>
        <v>2922.4640000000004</v>
      </c>
      <c r="I673" s="304">
        <f t="shared" si="87"/>
        <v>2922</v>
      </c>
      <c r="L673" s="195"/>
    </row>
    <row r="674" spans="1:12" customFormat="1" outlineLevel="1" x14ac:dyDescent="0.2">
      <c r="A674" s="25" t="s">
        <v>2512</v>
      </c>
      <c r="B674" s="145" t="s">
        <v>1657</v>
      </c>
      <c r="C674" s="183" t="s">
        <v>543</v>
      </c>
      <c r="D674" s="118">
        <f t="shared" si="84"/>
        <v>163.33333333333331</v>
      </c>
      <c r="E674" s="118">
        <f t="shared" si="85"/>
        <v>32.666666666666671</v>
      </c>
      <c r="F674" s="118">
        <f t="shared" si="90"/>
        <v>196</v>
      </c>
      <c r="G674" s="118">
        <v>181</v>
      </c>
      <c r="H674" s="304">
        <f t="shared" si="86"/>
        <v>196.20400000000001</v>
      </c>
      <c r="I674" s="304">
        <f t="shared" si="87"/>
        <v>196</v>
      </c>
      <c r="L674" s="195"/>
    </row>
    <row r="675" spans="1:12" customFormat="1" outlineLevel="1" x14ac:dyDescent="0.2">
      <c r="A675" s="25" t="s">
        <v>2513</v>
      </c>
      <c r="B675" s="145" t="s">
        <v>1658</v>
      </c>
      <c r="C675" s="183" t="s">
        <v>543</v>
      </c>
      <c r="D675" s="118">
        <f t="shared" si="84"/>
        <v>459.16666666666663</v>
      </c>
      <c r="E675" s="118">
        <f t="shared" si="85"/>
        <v>91.833333333333343</v>
      </c>
      <c r="F675" s="118">
        <f t="shared" si="90"/>
        <v>551</v>
      </c>
      <c r="G675" s="118">
        <v>508</v>
      </c>
      <c r="H675" s="304">
        <f t="shared" si="86"/>
        <v>550.67200000000003</v>
      </c>
      <c r="I675" s="304">
        <f t="shared" si="87"/>
        <v>551</v>
      </c>
      <c r="L675" s="195"/>
    </row>
    <row r="676" spans="1:12" customFormat="1" outlineLevel="1" x14ac:dyDescent="0.2">
      <c r="A676" s="25" t="s">
        <v>2514</v>
      </c>
      <c r="B676" s="145" t="s">
        <v>3197</v>
      </c>
      <c r="C676" s="235"/>
      <c r="D676" s="118"/>
      <c r="E676" s="118"/>
      <c r="F676" s="118"/>
      <c r="G676" s="118"/>
      <c r="H676" s="304">
        <f t="shared" si="86"/>
        <v>0</v>
      </c>
      <c r="I676" s="304">
        <f t="shared" si="87"/>
        <v>0</v>
      </c>
      <c r="L676" s="195"/>
    </row>
    <row r="677" spans="1:12" customFormat="1" outlineLevel="2" x14ac:dyDescent="0.2">
      <c r="A677" s="214" t="s">
        <v>2528</v>
      </c>
      <c r="B677" s="262" t="s">
        <v>3198</v>
      </c>
      <c r="C677" s="258" t="s">
        <v>487</v>
      </c>
      <c r="D677" s="118">
        <f t="shared" si="84"/>
        <v>722.5</v>
      </c>
      <c r="E677" s="118">
        <f t="shared" si="85"/>
        <v>144.5</v>
      </c>
      <c r="F677" s="118">
        <f t="shared" si="90"/>
        <v>867</v>
      </c>
      <c r="G677" s="118">
        <v>800</v>
      </c>
      <c r="H677" s="304">
        <f t="shared" si="86"/>
        <v>867.2</v>
      </c>
      <c r="I677" s="304">
        <f t="shared" si="87"/>
        <v>867</v>
      </c>
      <c r="K677" t="s">
        <v>3194</v>
      </c>
      <c r="L677" s="195"/>
    </row>
    <row r="678" spans="1:12" customFormat="1" outlineLevel="2" x14ac:dyDescent="0.2">
      <c r="A678" s="214" t="s">
        <v>2529</v>
      </c>
      <c r="B678" s="262" t="s">
        <v>3199</v>
      </c>
      <c r="C678" s="258" t="s">
        <v>487</v>
      </c>
      <c r="D678" s="118">
        <f t="shared" si="84"/>
        <v>903.33333333333326</v>
      </c>
      <c r="E678" s="118">
        <f t="shared" si="85"/>
        <v>180.66666666666669</v>
      </c>
      <c r="F678" s="118">
        <f t="shared" si="90"/>
        <v>1084</v>
      </c>
      <c r="G678" s="118">
        <v>1000</v>
      </c>
      <c r="H678" s="304">
        <f t="shared" si="86"/>
        <v>1084</v>
      </c>
      <c r="I678" s="304">
        <f t="shared" si="87"/>
        <v>1084</v>
      </c>
      <c r="L678" s="195"/>
    </row>
    <row r="679" spans="1:12" customFormat="1" outlineLevel="2" x14ac:dyDescent="0.2">
      <c r="A679" s="214" t="s">
        <v>2530</v>
      </c>
      <c r="B679" s="262" t="s">
        <v>3200</v>
      </c>
      <c r="C679" s="258" t="s">
        <v>487</v>
      </c>
      <c r="D679" s="118">
        <f t="shared" si="84"/>
        <v>1355</v>
      </c>
      <c r="E679" s="118">
        <f t="shared" si="85"/>
        <v>271</v>
      </c>
      <c r="F679" s="118">
        <f t="shared" si="90"/>
        <v>1626</v>
      </c>
      <c r="G679" s="118">
        <v>1500</v>
      </c>
      <c r="H679" s="304">
        <f t="shared" si="86"/>
        <v>1626</v>
      </c>
      <c r="I679" s="304">
        <f t="shared" si="87"/>
        <v>1626</v>
      </c>
      <c r="L679" s="195"/>
    </row>
    <row r="680" spans="1:12" customFormat="1" ht="18.75" x14ac:dyDescent="0.2">
      <c r="A680" s="423" t="s">
        <v>3112</v>
      </c>
      <c r="B680" s="424"/>
      <c r="C680" s="424"/>
      <c r="D680" s="424"/>
      <c r="E680" s="424"/>
      <c r="F680" s="424"/>
      <c r="G680" s="425"/>
      <c r="H680" s="316"/>
      <c r="I680" s="316"/>
      <c r="L680" s="195"/>
    </row>
    <row r="681" spans="1:12" customFormat="1" outlineLevel="1" x14ac:dyDescent="0.2">
      <c r="A681" s="25" t="s">
        <v>30</v>
      </c>
      <c r="B681" s="70" t="s">
        <v>815</v>
      </c>
      <c r="C681" s="204" t="s">
        <v>816</v>
      </c>
      <c r="D681" s="118">
        <f t="shared" ref="D681:D744" si="91">F681-E681</f>
        <v>140.83333333333331</v>
      </c>
      <c r="E681" s="118">
        <f t="shared" ref="E681:E744" si="92">F681/1.2*0.2</f>
        <v>28.166666666666671</v>
      </c>
      <c r="F681" s="118">
        <f t="shared" ref="F681:F744" si="93">I681</f>
        <v>169</v>
      </c>
      <c r="G681" s="118">
        <v>156</v>
      </c>
      <c r="H681" s="304">
        <f t="shared" ref="H681:H744" si="94">G681*$H$8</f>
        <v>169.10400000000001</v>
      </c>
      <c r="I681" s="304">
        <f t="shared" ref="I681:I744" si="95">ROUND(H681,0)</f>
        <v>169</v>
      </c>
      <c r="L681" s="195"/>
    </row>
    <row r="682" spans="1:12" customFormat="1" outlineLevel="1" x14ac:dyDescent="0.2">
      <c r="A682" s="25" t="s">
        <v>31</v>
      </c>
      <c r="B682" s="70" t="s">
        <v>817</v>
      </c>
      <c r="C682" s="204" t="s">
        <v>487</v>
      </c>
      <c r="D682" s="118">
        <f t="shared" si="91"/>
        <v>255</v>
      </c>
      <c r="E682" s="118">
        <f t="shared" si="92"/>
        <v>51</v>
      </c>
      <c r="F682" s="118">
        <f t="shared" si="93"/>
        <v>306</v>
      </c>
      <c r="G682" s="118">
        <v>282</v>
      </c>
      <c r="H682" s="304">
        <f t="shared" si="94"/>
        <v>305.68800000000005</v>
      </c>
      <c r="I682" s="304">
        <f t="shared" si="95"/>
        <v>306</v>
      </c>
      <c r="L682" s="195"/>
    </row>
    <row r="683" spans="1:12" customFormat="1" outlineLevel="1" x14ac:dyDescent="0.2">
      <c r="A683" s="25" t="s">
        <v>32</v>
      </c>
      <c r="B683" s="70" t="s">
        <v>818</v>
      </c>
      <c r="C683" s="107" t="s">
        <v>487</v>
      </c>
      <c r="D683" s="118">
        <f t="shared" si="91"/>
        <v>157.5</v>
      </c>
      <c r="E683" s="118">
        <f t="shared" si="92"/>
        <v>31.5</v>
      </c>
      <c r="F683" s="118">
        <f t="shared" si="93"/>
        <v>189</v>
      </c>
      <c r="G683" s="118">
        <v>174</v>
      </c>
      <c r="H683" s="304">
        <f t="shared" si="94"/>
        <v>188.61600000000001</v>
      </c>
      <c r="I683" s="304">
        <f t="shared" si="95"/>
        <v>189</v>
      </c>
      <c r="L683" s="195"/>
    </row>
    <row r="684" spans="1:12" customFormat="1" outlineLevel="1" x14ac:dyDescent="0.2">
      <c r="A684" s="25" t="s">
        <v>33</v>
      </c>
      <c r="B684" s="70" t="s">
        <v>819</v>
      </c>
      <c r="C684" s="107" t="s">
        <v>487</v>
      </c>
      <c r="D684" s="118">
        <f t="shared" si="91"/>
        <v>334.16666666666663</v>
      </c>
      <c r="E684" s="118">
        <f t="shared" si="92"/>
        <v>66.833333333333343</v>
      </c>
      <c r="F684" s="118">
        <f t="shared" si="93"/>
        <v>401</v>
      </c>
      <c r="G684" s="118">
        <v>370</v>
      </c>
      <c r="H684" s="304">
        <f t="shared" si="94"/>
        <v>401.08000000000004</v>
      </c>
      <c r="I684" s="304">
        <f t="shared" si="95"/>
        <v>401</v>
      </c>
      <c r="L684" s="195"/>
    </row>
    <row r="685" spans="1:12" customFormat="1" ht="31.5" outlineLevel="1" x14ac:dyDescent="0.2">
      <c r="A685" s="25" t="s">
        <v>1925</v>
      </c>
      <c r="B685" s="70" t="s">
        <v>820</v>
      </c>
      <c r="C685" s="107" t="s">
        <v>487</v>
      </c>
      <c r="D685" s="118">
        <f t="shared" si="91"/>
        <v>334.16666666666663</v>
      </c>
      <c r="E685" s="118">
        <f t="shared" si="92"/>
        <v>66.833333333333343</v>
      </c>
      <c r="F685" s="118">
        <f t="shared" si="93"/>
        <v>401</v>
      </c>
      <c r="G685" s="118">
        <v>370</v>
      </c>
      <c r="H685" s="304">
        <f t="shared" si="94"/>
        <v>401.08000000000004</v>
      </c>
      <c r="I685" s="304">
        <f t="shared" si="95"/>
        <v>401</v>
      </c>
      <c r="L685" s="195"/>
    </row>
    <row r="686" spans="1:12" customFormat="1" ht="31.5" outlineLevel="1" x14ac:dyDescent="0.2">
      <c r="A686" s="25" t="s">
        <v>1926</v>
      </c>
      <c r="B686" s="70" t="s">
        <v>821</v>
      </c>
      <c r="C686" s="107"/>
      <c r="D686" s="118"/>
      <c r="E686" s="118"/>
      <c r="F686" s="118"/>
      <c r="G686" s="118"/>
      <c r="H686" s="304">
        <f t="shared" si="94"/>
        <v>0</v>
      </c>
      <c r="I686" s="304">
        <f t="shared" si="95"/>
        <v>0</v>
      </c>
      <c r="L686" s="195"/>
    </row>
    <row r="687" spans="1:12" customFormat="1" outlineLevel="2" x14ac:dyDescent="0.2">
      <c r="A687" s="338" t="s">
        <v>2584</v>
      </c>
      <c r="B687" s="70" t="s">
        <v>822</v>
      </c>
      <c r="C687" s="213" t="s">
        <v>487</v>
      </c>
      <c r="D687" s="118">
        <f t="shared" si="91"/>
        <v>1.6666666666666665</v>
      </c>
      <c r="E687" s="118">
        <f t="shared" si="92"/>
        <v>0.33333333333333337</v>
      </c>
      <c r="F687" s="118">
        <f t="shared" si="93"/>
        <v>2</v>
      </c>
      <c r="G687" s="118">
        <v>2</v>
      </c>
      <c r="H687" s="304">
        <f t="shared" si="94"/>
        <v>2.1680000000000001</v>
      </c>
      <c r="I687" s="304">
        <f t="shared" si="95"/>
        <v>2</v>
      </c>
      <c r="L687" s="195"/>
    </row>
    <row r="688" spans="1:12" customFormat="1" outlineLevel="2" x14ac:dyDescent="0.2">
      <c r="A688" s="338" t="s">
        <v>2585</v>
      </c>
      <c r="B688" s="70" t="s">
        <v>823</v>
      </c>
      <c r="C688" s="213" t="s">
        <v>487</v>
      </c>
      <c r="D688" s="118">
        <f t="shared" si="91"/>
        <v>3.333333333333333</v>
      </c>
      <c r="E688" s="118">
        <f t="shared" si="92"/>
        <v>0.66666666666666674</v>
      </c>
      <c r="F688" s="118">
        <f t="shared" si="93"/>
        <v>4</v>
      </c>
      <c r="G688" s="118">
        <v>4</v>
      </c>
      <c r="H688" s="304">
        <f t="shared" si="94"/>
        <v>4.3360000000000003</v>
      </c>
      <c r="I688" s="304">
        <f t="shared" si="95"/>
        <v>4</v>
      </c>
      <c r="L688" s="195"/>
    </row>
    <row r="689" spans="1:12" customFormat="1" outlineLevel="2" x14ac:dyDescent="0.2">
      <c r="A689" s="338" t="s">
        <v>2586</v>
      </c>
      <c r="B689" s="70" t="s">
        <v>975</v>
      </c>
      <c r="C689" s="213" t="s">
        <v>487</v>
      </c>
      <c r="D689" s="118">
        <f t="shared" si="91"/>
        <v>113.33333333333333</v>
      </c>
      <c r="E689" s="118">
        <f t="shared" si="92"/>
        <v>22.666666666666671</v>
      </c>
      <c r="F689" s="118">
        <f t="shared" si="93"/>
        <v>136</v>
      </c>
      <c r="G689" s="118">
        <v>125</v>
      </c>
      <c r="H689" s="304">
        <f t="shared" si="94"/>
        <v>135.5</v>
      </c>
      <c r="I689" s="304">
        <f t="shared" si="95"/>
        <v>136</v>
      </c>
      <c r="L689" s="195"/>
    </row>
    <row r="690" spans="1:12" customFormat="1" outlineLevel="2" x14ac:dyDescent="0.2">
      <c r="A690" s="338" t="s">
        <v>2587</v>
      </c>
      <c r="B690" s="70" t="s">
        <v>976</v>
      </c>
      <c r="C690" s="213" t="s">
        <v>487</v>
      </c>
      <c r="D690" s="118">
        <f t="shared" si="91"/>
        <v>97.5</v>
      </c>
      <c r="E690" s="118">
        <f t="shared" si="92"/>
        <v>19.5</v>
      </c>
      <c r="F690" s="118">
        <f t="shared" si="93"/>
        <v>117</v>
      </c>
      <c r="G690" s="118">
        <v>108</v>
      </c>
      <c r="H690" s="304">
        <f t="shared" si="94"/>
        <v>117.072</v>
      </c>
      <c r="I690" s="304">
        <f t="shared" si="95"/>
        <v>117</v>
      </c>
      <c r="L690" s="195"/>
    </row>
    <row r="691" spans="1:12" customFormat="1" outlineLevel="2" x14ac:dyDescent="0.2">
      <c r="A691" s="338" t="s">
        <v>2588</v>
      </c>
      <c r="B691" s="70" t="s">
        <v>977</v>
      </c>
      <c r="C691" s="213" t="s">
        <v>487</v>
      </c>
      <c r="D691" s="118">
        <f t="shared" si="91"/>
        <v>84.166666666666657</v>
      </c>
      <c r="E691" s="118">
        <f t="shared" si="92"/>
        <v>16.833333333333336</v>
      </c>
      <c r="F691" s="118">
        <f t="shared" si="93"/>
        <v>101</v>
      </c>
      <c r="G691" s="118">
        <v>93</v>
      </c>
      <c r="H691" s="304">
        <f t="shared" si="94"/>
        <v>100.81200000000001</v>
      </c>
      <c r="I691" s="304">
        <f t="shared" si="95"/>
        <v>101</v>
      </c>
      <c r="L691" s="195"/>
    </row>
    <row r="692" spans="1:12" customFormat="1" outlineLevel="2" x14ac:dyDescent="0.2">
      <c r="A692" s="338" t="s">
        <v>2589</v>
      </c>
      <c r="B692" s="70" t="s">
        <v>978</v>
      </c>
      <c r="C692" s="213" t="s">
        <v>487</v>
      </c>
      <c r="D692" s="118">
        <f t="shared" si="91"/>
        <v>71.666666666666657</v>
      </c>
      <c r="E692" s="118">
        <f t="shared" si="92"/>
        <v>14.333333333333336</v>
      </c>
      <c r="F692" s="118">
        <f t="shared" si="93"/>
        <v>86</v>
      </c>
      <c r="G692" s="118">
        <v>79</v>
      </c>
      <c r="H692" s="304">
        <f t="shared" si="94"/>
        <v>85.63600000000001</v>
      </c>
      <c r="I692" s="304">
        <f t="shared" si="95"/>
        <v>86</v>
      </c>
      <c r="L692" s="195"/>
    </row>
    <row r="693" spans="1:12" customFormat="1" outlineLevel="2" x14ac:dyDescent="0.2">
      <c r="A693" s="338" t="s">
        <v>2590</v>
      </c>
      <c r="B693" s="70" t="s">
        <v>827</v>
      </c>
      <c r="C693" s="213" t="s">
        <v>487</v>
      </c>
      <c r="D693" s="118">
        <f t="shared" si="91"/>
        <v>9.1666666666666661</v>
      </c>
      <c r="E693" s="118">
        <f t="shared" si="92"/>
        <v>1.8333333333333337</v>
      </c>
      <c r="F693" s="118">
        <f t="shared" si="93"/>
        <v>11</v>
      </c>
      <c r="G693" s="118">
        <v>10</v>
      </c>
      <c r="H693" s="304">
        <f t="shared" si="94"/>
        <v>10.84</v>
      </c>
      <c r="I693" s="304">
        <f t="shared" si="95"/>
        <v>11</v>
      </c>
      <c r="L693" s="195"/>
    </row>
    <row r="694" spans="1:12" customFormat="1" outlineLevel="1" x14ac:dyDescent="0.2">
      <c r="A694" s="25" t="s">
        <v>2531</v>
      </c>
      <c r="B694" s="70" t="s">
        <v>828</v>
      </c>
      <c r="C694" s="107" t="s">
        <v>829</v>
      </c>
      <c r="D694" s="118">
        <f t="shared" si="91"/>
        <v>523.33333333333326</v>
      </c>
      <c r="E694" s="118">
        <f t="shared" si="92"/>
        <v>104.66666666666669</v>
      </c>
      <c r="F694" s="118">
        <f t="shared" si="93"/>
        <v>628</v>
      </c>
      <c r="G694" s="118">
        <v>579</v>
      </c>
      <c r="H694" s="304">
        <f t="shared" si="94"/>
        <v>627.63600000000008</v>
      </c>
      <c r="I694" s="304">
        <f t="shared" si="95"/>
        <v>628</v>
      </c>
      <c r="L694" s="195"/>
    </row>
    <row r="695" spans="1:12" customFormat="1" outlineLevel="1" x14ac:dyDescent="0.2">
      <c r="A695" s="25" t="s">
        <v>2532</v>
      </c>
      <c r="B695" s="70" t="s">
        <v>830</v>
      </c>
      <c r="C695" s="107" t="s">
        <v>487</v>
      </c>
      <c r="D695" s="118">
        <f t="shared" si="91"/>
        <v>197.5</v>
      </c>
      <c r="E695" s="118">
        <f t="shared" si="92"/>
        <v>39.5</v>
      </c>
      <c r="F695" s="118">
        <f t="shared" si="93"/>
        <v>237</v>
      </c>
      <c r="G695" s="118">
        <v>219</v>
      </c>
      <c r="H695" s="304">
        <f t="shared" si="94"/>
        <v>237.39600000000002</v>
      </c>
      <c r="I695" s="304">
        <f t="shared" si="95"/>
        <v>237</v>
      </c>
      <c r="L695" s="195"/>
    </row>
    <row r="696" spans="1:12" customFormat="1" ht="31.5" outlineLevel="1" x14ac:dyDescent="0.2">
      <c r="A696" s="25" t="s">
        <v>2533</v>
      </c>
      <c r="B696" s="70" t="s">
        <v>831</v>
      </c>
      <c r="C696" s="107" t="s">
        <v>487</v>
      </c>
      <c r="D696" s="118">
        <f t="shared" si="91"/>
        <v>113.33333333333333</v>
      </c>
      <c r="E696" s="118">
        <f t="shared" si="92"/>
        <v>22.666666666666671</v>
      </c>
      <c r="F696" s="118">
        <f t="shared" si="93"/>
        <v>136</v>
      </c>
      <c r="G696" s="118">
        <v>125</v>
      </c>
      <c r="H696" s="304">
        <f t="shared" si="94"/>
        <v>135.5</v>
      </c>
      <c r="I696" s="304">
        <f t="shared" si="95"/>
        <v>136</v>
      </c>
      <c r="L696" s="195"/>
    </row>
    <row r="697" spans="1:12" customFormat="1" outlineLevel="1" x14ac:dyDescent="0.2">
      <c r="A697" s="25" t="s">
        <v>2534</v>
      </c>
      <c r="B697" s="70" t="s">
        <v>2727</v>
      </c>
      <c r="C697" s="107" t="s">
        <v>499</v>
      </c>
      <c r="D697" s="118">
        <f t="shared" si="91"/>
        <v>85</v>
      </c>
      <c r="E697" s="118">
        <f t="shared" si="92"/>
        <v>17</v>
      </c>
      <c r="F697" s="118">
        <f t="shared" si="93"/>
        <v>102</v>
      </c>
      <c r="G697" s="118">
        <v>94</v>
      </c>
      <c r="H697" s="304">
        <f t="shared" si="94"/>
        <v>101.896</v>
      </c>
      <c r="I697" s="304">
        <f t="shared" si="95"/>
        <v>102</v>
      </c>
      <c r="L697" s="195"/>
    </row>
    <row r="698" spans="1:12" customFormat="1" outlineLevel="2" x14ac:dyDescent="0.2">
      <c r="A698" s="25" t="s">
        <v>2726</v>
      </c>
      <c r="B698" s="70" t="s">
        <v>2728</v>
      </c>
      <c r="C698" s="219"/>
      <c r="D698" s="118"/>
      <c r="E698" s="118"/>
      <c r="F698" s="118"/>
      <c r="G698" s="118"/>
      <c r="H698" s="304">
        <f t="shared" si="94"/>
        <v>0</v>
      </c>
      <c r="I698" s="304">
        <f t="shared" si="95"/>
        <v>0</v>
      </c>
      <c r="L698" s="195"/>
    </row>
    <row r="699" spans="1:12" customFormat="1" outlineLevel="3" x14ac:dyDescent="0.2">
      <c r="A699" s="214" t="s">
        <v>2731</v>
      </c>
      <c r="B699" s="70" t="s">
        <v>2729</v>
      </c>
      <c r="C699" s="219" t="s">
        <v>499</v>
      </c>
      <c r="D699" s="118">
        <f t="shared" si="91"/>
        <v>216.66666666666666</v>
      </c>
      <c r="E699" s="118">
        <f t="shared" si="92"/>
        <v>43.333333333333343</v>
      </c>
      <c r="F699" s="118">
        <f t="shared" si="93"/>
        <v>260</v>
      </c>
      <c r="G699" s="118">
        <v>240</v>
      </c>
      <c r="H699" s="304">
        <f t="shared" si="94"/>
        <v>260.16000000000003</v>
      </c>
      <c r="I699" s="304">
        <f t="shared" si="95"/>
        <v>260</v>
      </c>
      <c r="L699" s="195"/>
    </row>
    <row r="700" spans="1:12" customFormat="1" outlineLevel="3" x14ac:dyDescent="0.2">
      <c r="A700" s="214" t="s">
        <v>2732</v>
      </c>
      <c r="B700" s="70" t="s">
        <v>2730</v>
      </c>
      <c r="C700" s="219" t="s">
        <v>499</v>
      </c>
      <c r="D700" s="118">
        <f t="shared" si="91"/>
        <v>722.5</v>
      </c>
      <c r="E700" s="118">
        <f t="shared" si="92"/>
        <v>144.5</v>
      </c>
      <c r="F700" s="118">
        <f t="shared" si="93"/>
        <v>867</v>
      </c>
      <c r="G700" s="118">
        <v>800</v>
      </c>
      <c r="H700" s="304">
        <f t="shared" si="94"/>
        <v>867.2</v>
      </c>
      <c r="I700" s="304">
        <f t="shared" si="95"/>
        <v>867</v>
      </c>
      <c r="L700" s="195"/>
    </row>
    <row r="701" spans="1:12" customFormat="1" outlineLevel="3" x14ac:dyDescent="0.2">
      <c r="A701" s="214" t="s">
        <v>2733</v>
      </c>
      <c r="B701" s="70" t="s">
        <v>2749</v>
      </c>
      <c r="C701" s="219" t="s">
        <v>499</v>
      </c>
      <c r="D701" s="118">
        <f t="shared" si="91"/>
        <v>130.83333333333331</v>
      </c>
      <c r="E701" s="118">
        <f t="shared" si="92"/>
        <v>26.166666666666671</v>
      </c>
      <c r="F701" s="118">
        <f t="shared" si="93"/>
        <v>157</v>
      </c>
      <c r="G701" s="118">
        <v>145</v>
      </c>
      <c r="H701" s="304">
        <f t="shared" si="94"/>
        <v>157.18</v>
      </c>
      <c r="I701" s="304">
        <f t="shared" si="95"/>
        <v>157</v>
      </c>
      <c r="L701" s="195"/>
    </row>
    <row r="702" spans="1:12" customFormat="1" outlineLevel="3" x14ac:dyDescent="0.2">
      <c r="A702" s="214" t="s">
        <v>2734</v>
      </c>
      <c r="B702" s="70" t="s">
        <v>2750</v>
      </c>
      <c r="C702" s="219" t="s">
        <v>499</v>
      </c>
      <c r="D702" s="118">
        <f t="shared" si="91"/>
        <v>384.16666666666663</v>
      </c>
      <c r="E702" s="118">
        <f t="shared" si="92"/>
        <v>76.833333333333343</v>
      </c>
      <c r="F702" s="118">
        <f t="shared" si="93"/>
        <v>461</v>
      </c>
      <c r="G702" s="118">
        <v>425</v>
      </c>
      <c r="H702" s="304">
        <f t="shared" si="94"/>
        <v>460.70000000000005</v>
      </c>
      <c r="I702" s="304">
        <f t="shared" si="95"/>
        <v>461</v>
      </c>
      <c r="L702" s="195"/>
    </row>
    <row r="703" spans="1:12" customFormat="1" outlineLevel="2" x14ac:dyDescent="0.2">
      <c r="A703" s="25" t="s">
        <v>3095</v>
      </c>
      <c r="B703" s="70" t="s">
        <v>3101</v>
      </c>
      <c r="C703" s="229"/>
      <c r="D703" s="118"/>
      <c r="E703" s="118"/>
      <c r="F703" s="118"/>
      <c r="G703" s="118"/>
      <c r="H703" s="304">
        <f t="shared" si="94"/>
        <v>0</v>
      </c>
      <c r="I703" s="304">
        <f t="shared" si="95"/>
        <v>0</v>
      </c>
      <c r="L703" s="195"/>
    </row>
    <row r="704" spans="1:12" customFormat="1" outlineLevel="3" x14ac:dyDescent="0.2">
      <c r="A704" s="214" t="s">
        <v>3096</v>
      </c>
      <c r="B704" s="70" t="s">
        <v>3102</v>
      </c>
      <c r="C704" s="229" t="s">
        <v>499</v>
      </c>
      <c r="D704" s="118">
        <f t="shared" si="91"/>
        <v>130</v>
      </c>
      <c r="E704" s="118">
        <f t="shared" si="92"/>
        <v>26</v>
      </c>
      <c r="F704" s="118">
        <v>156</v>
      </c>
      <c r="G704" s="118">
        <v>135</v>
      </c>
      <c r="H704" s="304">
        <f t="shared" si="94"/>
        <v>146.34</v>
      </c>
      <c r="I704" s="304">
        <f t="shared" si="95"/>
        <v>146</v>
      </c>
      <c r="L704" s="195"/>
    </row>
    <row r="705" spans="1:12" customFormat="1" outlineLevel="3" x14ac:dyDescent="0.2">
      <c r="A705" s="214" t="s">
        <v>3097</v>
      </c>
      <c r="B705" s="70" t="s">
        <v>3103</v>
      </c>
      <c r="C705" s="229" t="s">
        <v>499</v>
      </c>
      <c r="D705" s="118">
        <f t="shared" si="91"/>
        <v>263.33333333333331</v>
      </c>
      <c r="E705" s="118">
        <f t="shared" si="92"/>
        <v>52.666666666666679</v>
      </c>
      <c r="F705" s="118">
        <v>316</v>
      </c>
      <c r="G705" s="118">
        <v>235</v>
      </c>
      <c r="H705" s="304">
        <f t="shared" si="94"/>
        <v>254.74</v>
      </c>
      <c r="I705" s="304">
        <f t="shared" si="95"/>
        <v>255</v>
      </c>
      <c r="L705" s="195"/>
    </row>
    <row r="706" spans="1:12" customFormat="1" outlineLevel="3" x14ac:dyDescent="0.2">
      <c r="A706" s="214" t="s">
        <v>3098</v>
      </c>
      <c r="B706" s="70" t="s">
        <v>3104</v>
      </c>
      <c r="C706" s="229" t="s">
        <v>499</v>
      </c>
      <c r="D706" s="118">
        <f t="shared" si="91"/>
        <v>330</v>
      </c>
      <c r="E706" s="118">
        <f t="shared" si="92"/>
        <v>66</v>
      </c>
      <c r="F706" s="118">
        <v>396</v>
      </c>
      <c r="G706" s="118">
        <v>275</v>
      </c>
      <c r="H706" s="304">
        <f t="shared" si="94"/>
        <v>298.10000000000002</v>
      </c>
      <c r="I706" s="304">
        <f t="shared" si="95"/>
        <v>298</v>
      </c>
      <c r="L706" s="195"/>
    </row>
    <row r="707" spans="1:12" customFormat="1" outlineLevel="3" x14ac:dyDescent="0.2">
      <c r="A707" s="214" t="s">
        <v>3099</v>
      </c>
      <c r="B707" s="70" t="s">
        <v>3105</v>
      </c>
      <c r="C707" s="229" t="s">
        <v>499</v>
      </c>
      <c r="D707" s="118">
        <f t="shared" si="91"/>
        <v>382.5</v>
      </c>
      <c r="E707" s="118">
        <f t="shared" si="92"/>
        <v>76.5</v>
      </c>
      <c r="F707" s="118">
        <v>459</v>
      </c>
      <c r="G707" s="118">
        <v>320</v>
      </c>
      <c r="H707" s="304">
        <f t="shared" si="94"/>
        <v>346.88</v>
      </c>
      <c r="I707" s="304">
        <f t="shared" si="95"/>
        <v>347</v>
      </c>
      <c r="L707" s="195"/>
    </row>
    <row r="708" spans="1:12" customFormat="1" outlineLevel="3" x14ac:dyDescent="0.2">
      <c r="A708" s="214" t="s">
        <v>3100</v>
      </c>
      <c r="B708" s="70" t="s">
        <v>3106</v>
      </c>
      <c r="C708" s="232" t="s">
        <v>499</v>
      </c>
      <c r="D708" s="118">
        <f t="shared" si="91"/>
        <v>382.5</v>
      </c>
      <c r="E708" s="118">
        <f t="shared" si="92"/>
        <v>76.5</v>
      </c>
      <c r="F708" s="118">
        <v>459</v>
      </c>
      <c r="G708" s="118">
        <v>320</v>
      </c>
      <c r="H708" s="304">
        <f t="shared" si="94"/>
        <v>346.88</v>
      </c>
      <c r="I708" s="304">
        <f t="shared" si="95"/>
        <v>347</v>
      </c>
      <c r="L708" s="195"/>
    </row>
    <row r="709" spans="1:12" customFormat="1" outlineLevel="2" x14ac:dyDescent="0.2">
      <c r="A709" s="25" t="s">
        <v>3147</v>
      </c>
      <c r="B709" s="70" t="s">
        <v>3153</v>
      </c>
      <c r="C709" s="232"/>
      <c r="D709" s="118"/>
      <c r="E709" s="118"/>
      <c r="F709" s="118"/>
      <c r="G709" s="118"/>
      <c r="H709" s="304">
        <f t="shared" si="94"/>
        <v>0</v>
      </c>
      <c r="I709" s="304">
        <f t="shared" si="95"/>
        <v>0</v>
      </c>
      <c r="L709" s="195"/>
    </row>
    <row r="710" spans="1:12" customFormat="1" outlineLevel="3" x14ac:dyDescent="0.2">
      <c r="A710" s="214" t="s">
        <v>3148</v>
      </c>
      <c r="B710" s="70" t="s">
        <v>3154</v>
      </c>
      <c r="C710" s="232" t="s">
        <v>499</v>
      </c>
      <c r="D710" s="118">
        <f t="shared" si="91"/>
        <v>135.83333333333331</v>
      </c>
      <c r="E710" s="118">
        <f t="shared" si="92"/>
        <v>27.166666666666671</v>
      </c>
      <c r="F710" s="118">
        <f t="shared" si="93"/>
        <v>163</v>
      </c>
      <c r="G710" s="118">
        <v>150</v>
      </c>
      <c r="H710" s="304">
        <f t="shared" si="94"/>
        <v>162.60000000000002</v>
      </c>
      <c r="I710" s="304">
        <f t="shared" si="95"/>
        <v>163</v>
      </c>
      <c r="L710" s="195"/>
    </row>
    <row r="711" spans="1:12" customFormat="1" outlineLevel="3" x14ac:dyDescent="0.2">
      <c r="A711" s="214" t="s">
        <v>3149</v>
      </c>
      <c r="B711" s="70" t="s">
        <v>3104</v>
      </c>
      <c r="C711" s="232" t="s">
        <v>499</v>
      </c>
      <c r="D711" s="118">
        <f t="shared" si="91"/>
        <v>180.83333333333331</v>
      </c>
      <c r="E711" s="118">
        <f t="shared" si="92"/>
        <v>36.166666666666671</v>
      </c>
      <c r="F711" s="118">
        <f t="shared" si="93"/>
        <v>217</v>
      </c>
      <c r="G711" s="118">
        <v>200</v>
      </c>
      <c r="H711" s="304">
        <f t="shared" si="94"/>
        <v>216.8</v>
      </c>
      <c r="I711" s="304">
        <f t="shared" si="95"/>
        <v>217</v>
      </c>
      <c r="L711" s="195"/>
    </row>
    <row r="712" spans="1:12" customFormat="1" outlineLevel="3" x14ac:dyDescent="0.2">
      <c r="A712" s="214" t="s">
        <v>3150</v>
      </c>
      <c r="B712" s="70" t="s">
        <v>3105</v>
      </c>
      <c r="C712" s="232" t="s">
        <v>499</v>
      </c>
      <c r="D712" s="118">
        <f t="shared" si="91"/>
        <v>235</v>
      </c>
      <c r="E712" s="118">
        <f t="shared" si="92"/>
        <v>47</v>
      </c>
      <c r="F712" s="118">
        <f t="shared" si="93"/>
        <v>282</v>
      </c>
      <c r="G712" s="118">
        <v>260</v>
      </c>
      <c r="H712" s="304">
        <f t="shared" si="94"/>
        <v>281.84000000000003</v>
      </c>
      <c r="I712" s="304">
        <f t="shared" si="95"/>
        <v>282</v>
      </c>
      <c r="L712" s="195"/>
    </row>
    <row r="713" spans="1:12" customFormat="1" outlineLevel="3" x14ac:dyDescent="0.2">
      <c r="A713" s="214" t="s">
        <v>3151</v>
      </c>
      <c r="B713" s="70" t="s">
        <v>3106</v>
      </c>
      <c r="C713" s="232" t="s">
        <v>499</v>
      </c>
      <c r="D713" s="118">
        <f t="shared" si="91"/>
        <v>180.83333333333331</v>
      </c>
      <c r="E713" s="118">
        <f t="shared" si="92"/>
        <v>36.166666666666671</v>
      </c>
      <c r="F713" s="118">
        <f t="shared" si="93"/>
        <v>217</v>
      </c>
      <c r="G713" s="118">
        <v>200</v>
      </c>
      <c r="H713" s="304">
        <f t="shared" si="94"/>
        <v>216.8</v>
      </c>
      <c r="I713" s="304">
        <f t="shared" si="95"/>
        <v>217</v>
      </c>
      <c r="L713" s="195"/>
    </row>
    <row r="714" spans="1:12" customFormat="1" outlineLevel="3" x14ac:dyDescent="0.2">
      <c r="A714" s="214" t="s">
        <v>3152</v>
      </c>
      <c r="B714" s="70" t="s">
        <v>3155</v>
      </c>
      <c r="C714" s="232" t="s">
        <v>499</v>
      </c>
      <c r="D714" s="118">
        <f t="shared" si="91"/>
        <v>429.16666666666663</v>
      </c>
      <c r="E714" s="118">
        <f t="shared" si="92"/>
        <v>85.833333333333343</v>
      </c>
      <c r="F714" s="118">
        <f t="shared" si="93"/>
        <v>515</v>
      </c>
      <c r="G714" s="118">
        <v>475</v>
      </c>
      <c r="H714" s="304">
        <f t="shared" si="94"/>
        <v>514.90000000000009</v>
      </c>
      <c r="I714" s="304">
        <f t="shared" si="95"/>
        <v>515</v>
      </c>
      <c r="L714" s="195"/>
    </row>
    <row r="715" spans="1:12" customFormat="1" ht="31.5" outlineLevel="2" x14ac:dyDescent="0.2">
      <c r="A715" s="25" t="s">
        <v>3220</v>
      </c>
      <c r="B715" s="70" t="s">
        <v>3221</v>
      </c>
      <c r="C715" s="264"/>
      <c r="D715" s="118"/>
      <c r="E715" s="118"/>
      <c r="F715" s="118"/>
      <c r="G715" s="118"/>
      <c r="H715" s="304">
        <f t="shared" si="94"/>
        <v>0</v>
      </c>
      <c r="I715" s="304">
        <f t="shared" si="95"/>
        <v>0</v>
      </c>
      <c r="J715" t="s">
        <v>3226</v>
      </c>
      <c r="L715" s="195"/>
    </row>
    <row r="716" spans="1:12" customFormat="1" outlineLevel="3" x14ac:dyDescent="0.2">
      <c r="A716" s="214" t="s">
        <v>3222</v>
      </c>
      <c r="B716" s="265" t="s">
        <v>3224</v>
      </c>
      <c r="C716" s="264" t="s">
        <v>499</v>
      </c>
      <c r="D716" s="118">
        <f t="shared" si="91"/>
        <v>266.66666666666663</v>
      </c>
      <c r="E716" s="118">
        <f t="shared" si="92"/>
        <v>53.333333333333343</v>
      </c>
      <c r="F716" s="118">
        <f t="shared" si="93"/>
        <v>320</v>
      </c>
      <c r="G716" s="118">
        <v>295</v>
      </c>
      <c r="H716" s="304">
        <f t="shared" si="94"/>
        <v>319.78000000000003</v>
      </c>
      <c r="I716" s="304">
        <f t="shared" si="95"/>
        <v>320</v>
      </c>
      <c r="L716" s="195"/>
    </row>
    <row r="717" spans="1:12" customFormat="1" outlineLevel="3" x14ac:dyDescent="0.2">
      <c r="A717" s="214" t="s">
        <v>3223</v>
      </c>
      <c r="B717" s="265" t="s">
        <v>3225</v>
      </c>
      <c r="C717" s="264" t="s">
        <v>499</v>
      </c>
      <c r="D717" s="118">
        <f t="shared" si="91"/>
        <v>470</v>
      </c>
      <c r="E717" s="118">
        <f t="shared" si="92"/>
        <v>94</v>
      </c>
      <c r="F717" s="118">
        <f t="shared" si="93"/>
        <v>564</v>
      </c>
      <c r="G717" s="118">
        <v>520</v>
      </c>
      <c r="H717" s="304">
        <f t="shared" si="94"/>
        <v>563.68000000000006</v>
      </c>
      <c r="I717" s="304">
        <f t="shared" si="95"/>
        <v>564</v>
      </c>
      <c r="L717" s="195"/>
    </row>
    <row r="718" spans="1:12" customFormat="1" outlineLevel="1" x14ac:dyDescent="0.2">
      <c r="A718" s="25" t="s">
        <v>2535</v>
      </c>
      <c r="B718" s="70" t="s">
        <v>2735</v>
      </c>
      <c r="C718" s="232" t="s">
        <v>499</v>
      </c>
      <c r="D718" s="118">
        <f t="shared" si="91"/>
        <v>339.16666666666663</v>
      </c>
      <c r="E718" s="118">
        <f t="shared" si="92"/>
        <v>67.833333333333343</v>
      </c>
      <c r="F718" s="118">
        <f t="shared" si="93"/>
        <v>407</v>
      </c>
      <c r="G718" s="118">
        <v>375</v>
      </c>
      <c r="H718" s="304">
        <f t="shared" si="94"/>
        <v>406.5</v>
      </c>
      <c r="I718" s="304">
        <f t="shared" si="95"/>
        <v>407</v>
      </c>
      <c r="L718" s="195"/>
    </row>
    <row r="719" spans="1:12" customFormat="1" outlineLevel="2" x14ac:dyDescent="0.2">
      <c r="A719" s="25" t="s">
        <v>2736</v>
      </c>
      <c r="B719" s="70" t="s">
        <v>2743</v>
      </c>
      <c r="C719" s="219"/>
      <c r="D719" s="118"/>
      <c r="E719" s="118"/>
      <c r="F719" s="118"/>
      <c r="G719" s="118"/>
      <c r="H719" s="304">
        <f t="shared" si="94"/>
        <v>0</v>
      </c>
      <c r="I719" s="304">
        <f t="shared" si="95"/>
        <v>0</v>
      </c>
      <c r="L719" s="195"/>
    </row>
    <row r="720" spans="1:12" customFormat="1" outlineLevel="3" x14ac:dyDescent="0.2">
      <c r="A720" s="214" t="s">
        <v>2737</v>
      </c>
      <c r="B720" s="70" t="s">
        <v>3159</v>
      </c>
      <c r="C720" s="219" t="s">
        <v>499</v>
      </c>
      <c r="D720" s="118">
        <f t="shared" si="91"/>
        <v>1580.8333333333333</v>
      </c>
      <c r="E720" s="118">
        <f t="shared" si="92"/>
        <v>316.16666666666674</v>
      </c>
      <c r="F720" s="118">
        <f t="shared" si="93"/>
        <v>1897</v>
      </c>
      <c r="G720" s="118">
        <v>1750</v>
      </c>
      <c r="H720" s="304">
        <f t="shared" si="94"/>
        <v>1897.0000000000002</v>
      </c>
      <c r="I720" s="304">
        <f t="shared" si="95"/>
        <v>1897</v>
      </c>
      <c r="L720" s="195"/>
    </row>
    <row r="721" spans="1:12" customFormat="1" outlineLevel="3" x14ac:dyDescent="0.2">
      <c r="A721" s="214" t="s">
        <v>2738</v>
      </c>
      <c r="B721" s="70" t="s">
        <v>3160</v>
      </c>
      <c r="C721" s="219" t="s">
        <v>499</v>
      </c>
      <c r="D721" s="118">
        <f t="shared" si="91"/>
        <v>840</v>
      </c>
      <c r="E721" s="118">
        <f t="shared" si="92"/>
        <v>168</v>
      </c>
      <c r="F721" s="118">
        <f t="shared" si="93"/>
        <v>1008</v>
      </c>
      <c r="G721" s="118">
        <v>930</v>
      </c>
      <c r="H721" s="304">
        <f t="shared" si="94"/>
        <v>1008.1200000000001</v>
      </c>
      <c r="I721" s="304">
        <f t="shared" si="95"/>
        <v>1008</v>
      </c>
      <c r="L721" s="195"/>
    </row>
    <row r="722" spans="1:12" customFormat="1" outlineLevel="2" x14ac:dyDescent="0.2">
      <c r="A722" s="214" t="s">
        <v>2739</v>
      </c>
      <c r="B722" s="70" t="s">
        <v>2742</v>
      </c>
      <c r="C722" s="219"/>
      <c r="D722" s="118"/>
      <c r="E722" s="118"/>
      <c r="F722" s="118"/>
      <c r="G722" s="118"/>
      <c r="H722" s="304">
        <f t="shared" si="94"/>
        <v>0</v>
      </c>
      <c r="I722" s="304">
        <f t="shared" si="95"/>
        <v>0</v>
      </c>
      <c r="L722" s="195"/>
    </row>
    <row r="723" spans="1:12" customFormat="1" outlineLevel="3" x14ac:dyDescent="0.2">
      <c r="A723" s="214" t="s">
        <v>2740</v>
      </c>
      <c r="B723" s="70" t="s">
        <v>3159</v>
      </c>
      <c r="C723" s="219" t="s">
        <v>499</v>
      </c>
      <c r="D723" s="118">
        <f t="shared" si="91"/>
        <v>1400</v>
      </c>
      <c r="E723" s="118">
        <f t="shared" si="92"/>
        <v>280</v>
      </c>
      <c r="F723" s="118">
        <f t="shared" si="93"/>
        <v>1680</v>
      </c>
      <c r="G723" s="118">
        <v>1550</v>
      </c>
      <c r="H723" s="304">
        <f t="shared" si="94"/>
        <v>1680.2</v>
      </c>
      <c r="I723" s="304">
        <f t="shared" si="95"/>
        <v>1680</v>
      </c>
      <c r="L723" s="195"/>
    </row>
    <row r="724" spans="1:12" customFormat="1" outlineLevel="3" x14ac:dyDescent="0.2">
      <c r="A724" s="214" t="s">
        <v>2741</v>
      </c>
      <c r="B724" s="70" t="s">
        <v>3160</v>
      </c>
      <c r="C724" s="219" t="s">
        <v>499</v>
      </c>
      <c r="D724" s="118">
        <f t="shared" si="91"/>
        <v>767.5</v>
      </c>
      <c r="E724" s="118">
        <f t="shared" si="92"/>
        <v>153.5</v>
      </c>
      <c r="F724" s="118">
        <f t="shared" si="93"/>
        <v>921</v>
      </c>
      <c r="G724" s="118">
        <v>850</v>
      </c>
      <c r="H724" s="304">
        <f t="shared" si="94"/>
        <v>921.40000000000009</v>
      </c>
      <c r="I724" s="304">
        <f t="shared" si="95"/>
        <v>921</v>
      </c>
      <c r="L724" s="195"/>
    </row>
    <row r="725" spans="1:12" customFormat="1" outlineLevel="2" x14ac:dyDescent="0.2">
      <c r="A725" s="25" t="s">
        <v>3107</v>
      </c>
      <c r="B725" s="70" t="s">
        <v>3111</v>
      </c>
      <c r="C725" s="229"/>
      <c r="D725" s="118"/>
      <c r="E725" s="118"/>
      <c r="F725" s="118"/>
      <c r="G725" s="118"/>
      <c r="H725" s="304">
        <f t="shared" si="94"/>
        <v>0</v>
      </c>
      <c r="I725" s="304">
        <f t="shared" si="95"/>
        <v>0</v>
      </c>
      <c r="L725" s="195"/>
    </row>
    <row r="726" spans="1:12" customFormat="1" outlineLevel="3" x14ac:dyDescent="0.2">
      <c r="A726" s="214" t="s">
        <v>3108</v>
      </c>
      <c r="B726" s="70" t="s">
        <v>3161</v>
      </c>
      <c r="C726" s="229" t="s">
        <v>499</v>
      </c>
      <c r="D726" s="118">
        <f t="shared" si="91"/>
        <v>1186.6666666666665</v>
      </c>
      <c r="E726" s="118">
        <f t="shared" si="92"/>
        <v>237.33333333333337</v>
      </c>
      <c r="F726" s="118">
        <v>1424</v>
      </c>
      <c r="G726" s="118">
        <v>1110</v>
      </c>
      <c r="H726" s="304">
        <f t="shared" si="94"/>
        <v>1203.24</v>
      </c>
      <c r="I726" s="304">
        <f t="shared" si="95"/>
        <v>1203</v>
      </c>
      <c r="L726" s="195"/>
    </row>
    <row r="727" spans="1:12" customFormat="1" outlineLevel="3" x14ac:dyDescent="0.2">
      <c r="A727" s="214" t="s">
        <v>3109</v>
      </c>
      <c r="B727" s="70" t="s">
        <v>3162</v>
      </c>
      <c r="C727" s="229" t="s">
        <v>499</v>
      </c>
      <c r="D727" s="118">
        <f t="shared" si="91"/>
        <v>1186.6666666666665</v>
      </c>
      <c r="E727" s="118">
        <f t="shared" si="92"/>
        <v>237.33333333333337</v>
      </c>
      <c r="F727" s="118">
        <v>1424</v>
      </c>
      <c r="G727" s="118">
        <v>1030</v>
      </c>
      <c r="H727" s="304">
        <f t="shared" si="94"/>
        <v>1116.52</v>
      </c>
      <c r="I727" s="304">
        <f t="shared" si="95"/>
        <v>1117</v>
      </c>
      <c r="L727" s="195"/>
    </row>
    <row r="728" spans="1:12" customFormat="1" outlineLevel="3" x14ac:dyDescent="0.2">
      <c r="A728" s="214" t="s">
        <v>3110</v>
      </c>
      <c r="B728" s="70" t="s">
        <v>3163</v>
      </c>
      <c r="C728" s="232" t="s">
        <v>499</v>
      </c>
      <c r="D728" s="118">
        <f t="shared" si="91"/>
        <v>507.5</v>
      </c>
      <c r="E728" s="118">
        <f t="shared" si="92"/>
        <v>101.5</v>
      </c>
      <c r="F728" s="118">
        <v>609</v>
      </c>
      <c r="G728" s="118">
        <v>530</v>
      </c>
      <c r="H728" s="304">
        <f t="shared" si="94"/>
        <v>574.5200000000001</v>
      </c>
      <c r="I728" s="304">
        <f t="shared" si="95"/>
        <v>575</v>
      </c>
      <c r="L728" s="195"/>
    </row>
    <row r="729" spans="1:12" customFormat="1" outlineLevel="2" x14ac:dyDescent="0.2">
      <c r="A729" s="25" t="s">
        <v>3156</v>
      </c>
      <c r="B729" s="70" t="s">
        <v>3158</v>
      </c>
      <c r="C729" s="232"/>
      <c r="D729" s="118"/>
      <c r="E729" s="118"/>
      <c r="F729" s="118"/>
      <c r="G729" s="118"/>
      <c r="H729" s="304">
        <f t="shared" si="94"/>
        <v>0</v>
      </c>
      <c r="I729" s="304">
        <f t="shared" si="95"/>
        <v>0</v>
      </c>
      <c r="L729" s="195"/>
    </row>
    <row r="730" spans="1:12" customFormat="1" outlineLevel="3" x14ac:dyDescent="0.2">
      <c r="A730" s="214" t="s">
        <v>3157</v>
      </c>
      <c r="B730" s="70" t="s">
        <v>3164</v>
      </c>
      <c r="C730" s="232" t="s">
        <v>499</v>
      </c>
      <c r="D730" s="118">
        <f t="shared" si="91"/>
        <v>541.66666666666663</v>
      </c>
      <c r="E730" s="118">
        <f t="shared" si="92"/>
        <v>108.33333333333336</v>
      </c>
      <c r="F730" s="118">
        <f t="shared" si="93"/>
        <v>650</v>
      </c>
      <c r="G730" s="118">
        <v>600</v>
      </c>
      <c r="H730" s="304">
        <f t="shared" si="94"/>
        <v>650.40000000000009</v>
      </c>
      <c r="I730" s="304">
        <f t="shared" si="95"/>
        <v>650</v>
      </c>
      <c r="L730" s="195"/>
    </row>
    <row r="731" spans="1:12" customFormat="1" outlineLevel="1" x14ac:dyDescent="0.2">
      <c r="A731" s="25" t="s">
        <v>2536</v>
      </c>
      <c r="B731" s="70" t="s">
        <v>834</v>
      </c>
      <c r="C731" s="232" t="s">
        <v>499</v>
      </c>
      <c r="D731" s="118">
        <f t="shared" si="91"/>
        <v>140.83333333333331</v>
      </c>
      <c r="E731" s="118">
        <f t="shared" si="92"/>
        <v>28.166666666666671</v>
      </c>
      <c r="F731" s="118">
        <f t="shared" si="93"/>
        <v>169</v>
      </c>
      <c r="G731" s="118">
        <v>156</v>
      </c>
      <c r="H731" s="304">
        <f t="shared" si="94"/>
        <v>169.10400000000001</v>
      </c>
      <c r="I731" s="304">
        <f t="shared" si="95"/>
        <v>169</v>
      </c>
      <c r="L731" s="195"/>
    </row>
    <row r="732" spans="1:12" customFormat="1" outlineLevel="1" x14ac:dyDescent="0.2">
      <c r="A732" s="25" t="s">
        <v>2537</v>
      </c>
      <c r="B732" s="70" t="s">
        <v>835</v>
      </c>
      <c r="C732" s="232" t="s">
        <v>499</v>
      </c>
      <c r="D732" s="118">
        <f t="shared" si="91"/>
        <v>255</v>
      </c>
      <c r="E732" s="118">
        <f t="shared" si="92"/>
        <v>51</v>
      </c>
      <c r="F732" s="118">
        <f t="shared" si="93"/>
        <v>306</v>
      </c>
      <c r="G732" s="118">
        <v>282</v>
      </c>
      <c r="H732" s="304">
        <f t="shared" si="94"/>
        <v>305.68800000000005</v>
      </c>
      <c r="I732" s="304">
        <f t="shared" si="95"/>
        <v>306</v>
      </c>
      <c r="L732" s="195"/>
    </row>
    <row r="733" spans="1:12" customFormat="1" ht="31.5" outlineLevel="1" x14ac:dyDescent="0.2">
      <c r="A733" s="25" t="s">
        <v>2538</v>
      </c>
      <c r="B733" s="70" t="s">
        <v>836</v>
      </c>
      <c r="C733" s="107" t="s">
        <v>487</v>
      </c>
      <c r="D733" s="118">
        <f t="shared" si="91"/>
        <v>226.66666666666666</v>
      </c>
      <c r="E733" s="118">
        <f t="shared" si="92"/>
        <v>45.333333333333343</v>
      </c>
      <c r="F733" s="118">
        <f t="shared" si="93"/>
        <v>272</v>
      </c>
      <c r="G733" s="118">
        <v>251</v>
      </c>
      <c r="H733" s="304">
        <f t="shared" si="94"/>
        <v>272.084</v>
      </c>
      <c r="I733" s="304">
        <f t="shared" si="95"/>
        <v>272</v>
      </c>
      <c r="L733" s="195"/>
    </row>
    <row r="734" spans="1:12" customFormat="1" outlineLevel="1" x14ac:dyDescent="0.2">
      <c r="A734" s="25" t="s">
        <v>2539</v>
      </c>
      <c r="B734" s="70" t="s">
        <v>837</v>
      </c>
      <c r="C734" s="107" t="s">
        <v>838</v>
      </c>
      <c r="D734" s="118">
        <f t="shared" si="91"/>
        <v>169.16666666666666</v>
      </c>
      <c r="E734" s="118">
        <f t="shared" si="92"/>
        <v>33.833333333333336</v>
      </c>
      <c r="F734" s="118">
        <f t="shared" si="93"/>
        <v>203</v>
      </c>
      <c r="G734" s="118">
        <v>187</v>
      </c>
      <c r="H734" s="304">
        <f t="shared" si="94"/>
        <v>202.70800000000003</v>
      </c>
      <c r="I734" s="304">
        <f t="shared" si="95"/>
        <v>203</v>
      </c>
      <c r="L734" s="195"/>
    </row>
    <row r="735" spans="1:12" customFormat="1" outlineLevel="1" x14ac:dyDescent="0.2">
      <c r="A735" s="25" t="s">
        <v>2540</v>
      </c>
      <c r="B735" s="70" t="s">
        <v>839</v>
      </c>
      <c r="C735" s="107" t="s">
        <v>838</v>
      </c>
      <c r="D735" s="118">
        <f t="shared" si="91"/>
        <v>169.16666666666666</v>
      </c>
      <c r="E735" s="118">
        <f t="shared" si="92"/>
        <v>33.833333333333336</v>
      </c>
      <c r="F735" s="118">
        <f t="shared" si="93"/>
        <v>203</v>
      </c>
      <c r="G735" s="118">
        <v>187</v>
      </c>
      <c r="H735" s="304">
        <f t="shared" si="94"/>
        <v>202.70800000000003</v>
      </c>
      <c r="I735" s="304">
        <f t="shared" si="95"/>
        <v>203</v>
      </c>
      <c r="L735" s="195"/>
    </row>
    <row r="736" spans="1:12" customFormat="1" outlineLevel="1" x14ac:dyDescent="0.2">
      <c r="A736" s="25" t="s">
        <v>2541</v>
      </c>
      <c r="B736" s="70" t="s">
        <v>840</v>
      </c>
      <c r="C736" s="107" t="s">
        <v>487</v>
      </c>
      <c r="D736" s="118">
        <f t="shared" si="91"/>
        <v>423.33333333333331</v>
      </c>
      <c r="E736" s="118">
        <f t="shared" si="92"/>
        <v>84.666666666666686</v>
      </c>
      <c r="F736" s="118">
        <f t="shared" si="93"/>
        <v>508</v>
      </c>
      <c r="G736" s="118">
        <v>469</v>
      </c>
      <c r="H736" s="304">
        <f t="shared" si="94"/>
        <v>508.39600000000002</v>
      </c>
      <c r="I736" s="304">
        <f t="shared" si="95"/>
        <v>508</v>
      </c>
      <c r="L736" s="195"/>
    </row>
    <row r="737" spans="1:12" customFormat="1" outlineLevel="1" x14ac:dyDescent="0.2">
      <c r="A737" s="25" t="s">
        <v>2542</v>
      </c>
      <c r="B737" s="70" t="s">
        <v>841</v>
      </c>
      <c r="C737" s="107" t="s">
        <v>499</v>
      </c>
      <c r="D737" s="118">
        <f t="shared" si="91"/>
        <v>423.33333333333331</v>
      </c>
      <c r="E737" s="118">
        <f t="shared" si="92"/>
        <v>84.666666666666686</v>
      </c>
      <c r="F737" s="118">
        <f t="shared" si="93"/>
        <v>508</v>
      </c>
      <c r="G737" s="118">
        <v>469</v>
      </c>
      <c r="H737" s="304">
        <f t="shared" si="94"/>
        <v>508.39600000000002</v>
      </c>
      <c r="I737" s="304">
        <f t="shared" si="95"/>
        <v>508</v>
      </c>
      <c r="L737" s="195"/>
    </row>
    <row r="738" spans="1:12" customFormat="1" outlineLevel="1" x14ac:dyDescent="0.2">
      <c r="A738" s="25" t="s">
        <v>2543</v>
      </c>
      <c r="B738" s="70" t="s">
        <v>3068</v>
      </c>
      <c r="C738" s="107" t="s">
        <v>487</v>
      </c>
      <c r="D738" s="118">
        <f t="shared" si="91"/>
        <v>260.83333333333331</v>
      </c>
      <c r="E738" s="118">
        <f t="shared" si="92"/>
        <v>52.166666666666679</v>
      </c>
      <c r="F738" s="118">
        <f t="shared" si="93"/>
        <v>313</v>
      </c>
      <c r="G738" s="118">
        <v>289</v>
      </c>
      <c r="H738" s="304">
        <f t="shared" si="94"/>
        <v>313.27600000000001</v>
      </c>
      <c r="I738" s="304">
        <f t="shared" si="95"/>
        <v>313</v>
      </c>
      <c r="L738" s="195"/>
    </row>
    <row r="739" spans="1:12" customFormat="1" outlineLevel="1" x14ac:dyDescent="0.2">
      <c r="A739" s="25" t="s">
        <v>2544</v>
      </c>
      <c r="B739" s="70" t="s">
        <v>843</v>
      </c>
      <c r="C739" s="107" t="s">
        <v>487</v>
      </c>
      <c r="D739" s="118">
        <f t="shared" si="91"/>
        <v>423.33333333333331</v>
      </c>
      <c r="E739" s="118">
        <f t="shared" si="92"/>
        <v>84.666666666666686</v>
      </c>
      <c r="F739" s="118">
        <f t="shared" si="93"/>
        <v>508</v>
      </c>
      <c r="G739" s="118">
        <v>469</v>
      </c>
      <c r="H739" s="304">
        <f t="shared" si="94"/>
        <v>508.39600000000002</v>
      </c>
      <c r="I739" s="304">
        <f t="shared" si="95"/>
        <v>508</v>
      </c>
      <c r="L739" s="195"/>
    </row>
    <row r="740" spans="1:12" customFormat="1" outlineLevel="1" x14ac:dyDescent="0.2">
      <c r="A740" s="25" t="s">
        <v>2545</v>
      </c>
      <c r="B740" s="70" t="s">
        <v>846</v>
      </c>
      <c r="C740" s="231" t="s">
        <v>487</v>
      </c>
      <c r="D740" s="118">
        <f t="shared" si="91"/>
        <v>565.83333333333326</v>
      </c>
      <c r="E740" s="118">
        <f t="shared" si="92"/>
        <v>113.16666666666669</v>
      </c>
      <c r="F740" s="118">
        <f t="shared" si="93"/>
        <v>679</v>
      </c>
      <c r="G740" s="118">
        <v>626</v>
      </c>
      <c r="H740" s="304">
        <f t="shared" si="94"/>
        <v>678.58400000000006</v>
      </c>
      <c r="I740" s="304">
        <f t="shared" si="95"/>
        <v>679</v>
      </c>
      <c r="L740" s="195"/>
    </row>
    <row r="741" spans="1:12" customFormat="1" outlineLevel="1" x14ac:dyDescent="0.2">
      <c r="A741" s="25" t="s">
        <v>2546</v>
      </c>
      <c r="B741" s="70" t="s">
        <v>3115</v>
      </c>
      <c r="C741" s="107" t="s">
        <v>487</v>
      </c>
      <c r="D741" s="118">
        <f t="shared" si="91"/>
        <v>989.16666666666663</v>
      </c>
      <c r="E741" s="118">
        <f t="shared" si="92"/>
        <v>197.83333333333337</v>
      </c>
      <c r="F741" s="118">
        <f t="shared" si="93"/>
        <v>1187</v>
      </c>
      <c r="G741" s="118">
        <v>1095</v>
      </c>
      <c r="H741" s="304">
        <f t="shared" si="94"/>
        <v>1186.98</v>
      </c>
      <c r="I741" s="304">
        <f t="shared" si="95"/>
        <v>1187</v>
      </c>
      <c r="L741" s="195"/>
    </row>
    <row r="742" spans="1:12" customFormat="1" outlineLevel="1" x14ac:dyDescent="0.2">
      <c r="A742" s="25" t="s">
        <v>2547</v>
      </c>
      <c r="B742" s="70" t="s">
        <v>845</v>
      </c>
      <c r="C742" s="231" t="s">
        <v>487</v>
      </c>
      <c r="D742" s="118">
        <f t="shared" si="91"/>
        <v>1412.5</v>
      </c>
      <c r="E742" s="118">
        <f t="shared" si="92"/>
        <v>282.5</v>
      </c>
      <c r="F742" s="118">
        <f t="shared" si="93"/>
        <v>1695</v>
      </c>
      <c r="G742" s="118">
        <v>1564</v>
      </c>
      <c r="H742" s="304">
        <f t="shared" si="94"/>
        <v>1695.3760000000002</v>
      </c>
      <c r="I742" s="304">
        <f t="shared" si="95"/>
        <v>1695</v>
      </c>
      <c r="L742" s="195"/>
    </row>
    <row r="743" spans="1:12" customFormat="1" outlineLevel="1" x14ac:dyDescent="0.2">
      <c r="A743" s="25" t="s">
        <v>2548</v>
      </c>
      <c r="B743" s="70" t="s">
        <v>847</v>
      </c>
      <c r="C743" s="107"/>
      <c r="D743" s="118"/>
      <c r="E743" s="118"/>
      <c r="F743" s="118"/>
      <c r="G743" s="118"/>
      <c r="H743" s="304">
        <f t="shared" si="94"/>
        <v>0</v>
      </c>
      <c r="I743" s="304">
        <f t="shared" si="95"/>
        <v>0</v>
      </c>
      <c r="L743" s="195"/>
    </row>
    <row r="744" spans="1:12" customFormat="1" outlineLevel="2" x14ac:dyDescent="0.2">
      <c r="A744" s="214" t="s">
        <v>2591</v>
      </c>
      <c r="B744" s="70" t="s">
        <v>824</v>
      </c>
      <c r="C744" s="213" t="s">
        <v>543</v>
      </c>
      <c r="D744" s="118">
        <f t="shared" si="91"/>
        <v>2120</v>
      </c>
      <c r="E744" s="118">
        <f t="shared" si="92"/>
        <v>424</v>
      </c>
      <c r="F744" s="118">
        <f t="shared" si="93"/>
        <v>2544</v>
      </c>
      <c r="G744" s="118">
        <v>2347</v>
      </c>
      <c r="H744" s="304">
        <f t="shared" si="94"/>
        <v>2544.1480000000001</v>
      </c>
      <c r="I744" s="304">
        <f t="shared" si="95"/>
        <v>2544</v>
      </c>
      <c r="L744" s="195"/>
    </row>
    <row r="745" spans="1:12" customFormat="1" outlineLevel="2" x14ac:dyDescent="0.2">
      <c r="A745" s="214" t="s">
        <v>2592</v>
      </c>
      <c r="B745" s="70" t="s">
        <v>848</v>
      </c>
      <c r="C745" s="213" t="s">
        <v>543</v>
      </c>
      <c r="D745" s="118">
        <f t="shared" ref="D745:D808" si="96">F745-E745</f>
        <v>706.66666666666663</v>
      </c>
      <c r="E745" s="118">
        <f t="shared" ref="E745:E808" si="97">F745/1.2*0.2</f>
        <v>141.33333333333334</v>
      </c>
      <c r="F745" s="118">
        <f t="shared" ref="F745:F808" si="98">I745</f>
        <v>848</v>
      </c>
      <c r="G745" s="118">
        <v>782</v>
      </c>
      <c r="H745" s="304">
        <f t="shared" ref="H745:H808" si="99">G745*$H$8</f>
        <v>847.6880000000001</v>
      </c>
      <c r="I745" s="304">
        <f t="shared" ref="I745:I808" si="100">ROUND(H745,0)</f>
        <v>848</v>
      </c>
      <c r="L745" s="195"/>
    </row>
    <row r="746" spans="1:12" customFormat="1" outlineLevel="1" x14ac:dyDescent="0.2">
      <c r="A746" s="25" t="s">
        <v>2549</v>
      </c>
      <c r="B746" s="70" t="s">
        <v>849</v>
      </c>
      <c r="C746" s="107" t="s">
        <v>543</v>
      </c>
      <c r="D746" s="118">
        <f t="shared" si="96"/>
        <v>1271.6666666666665</v>
      </c>
      <c r="E746" s="118">
        <f t="shared" si="97"/>
        <v>254.33333333333337</v>
      </c>
      <c r="F746" s="118">
        <f t="shared" si="98"/>
        <v>1526</v>
      </c>
      <c r="G746" s="118">
        <v>1408</v>
      </c>
      <c r="H746" s="304">
        <f t="shared" si="99"/>
        <v>1526.2720000000002</v>
      </c>
      <c r="I746" s="304">
        <f t="shared" si="100"/>
        <v>1526</v>
      </c>
      <c r="L746" s="195"/>
    </row>
    <row r="747" spans="1:12" customFormat="1" outlineLevel="1" x14ac:dyDescent="0.2">
      <c r="A747" s="25" t="s">
        <v>2550</v>
      </c>
      <c r="B747" s="70" t="s">
        <v>850</v>
      </c>
      <c r="C747" s="107"/>
      <c r="D747" s="118"/>
      <c r="E747" s="118"/>
      <c r="F747" s="118"/>
      <c r="G747" s="118"/>
      <c r="H747" s="304">
        <f t="shared" si="99"/>
        <v>0</v>
      </c>
      <c r="I747" s="304">
        <f t="shared" si="100"/>
        <v>0</v>
      </c>
      <c r="L747" s="195"/>
    </row>
    <row r="748" spans="1:12" customFormat="1" outlineLevel="2" x14ac:dyDescent="0.2">
      <c r="A748" s="338" t="s">
        <v>2593</v>
      </c>
      <c r="B748" s="70" t="s">
        <v>824</v>
      </c>
      <c r="C748" s="213" t="s">
        <v>487</v>
      </c>
      <c r="D748" s="118">
        <f t="shared" si="96"/>
        <v>1130</v>
      </c>
      <c r="E748" s="118">
        <f t="shared" si="97"/>
        <v>226</v>
      </c>
      <c r="F748" s="118">
        <f t="shared" si="98"/>
        <v>1356</v>
      </c>
      <c r="G748" s="118">
        <v>1251</v>
      </c>
      <c r="H748" s="304">
        <f t="shared" si="99"/>
        <v>1356.0840000000001</v>
      </c>
      <c r="I748" s="304">
        <f t="shared" si="100"/>
        <v>1356</v>
      </c>
      <c r="L748" s="195"/>
    </row>
    <row r="749" spans="1:12" customFormat="1" outlineLevel="2" x14ac:dyDescent="0.2">
      <c r="A749" s="338" t="s">
        <v>2594</v>
      </c>
      <c r="B749" s="70" t="s">
        <v>826</v>
      </c>
      <c r="C749" s="107" t="s">
        <v>487</v>
      </c>
      <c r="D749" s="118">
        <f t="shared" si="96"/>
        <v>565.83333333333326</v>
      </c>
      <c r="E749" s="118">
        <f t="shared" si="97"/>
        <v>113.16666666666669</v>
      </c>
      <c r="F749" s="118">
        <f t="shared" si="98"/>
        <v>679</v>
      </c>
      <c r="G749" s="118">
        <v>626</v>
      </c>
      <c r="H749" s="304">
        <f t="shared" si="99"/>
        <v>678.58400000000006</v>
      </c>
      <c r="I749" s="304">
        <f t="shared" si="100"/>
        <v>679</v>
      </c>
      <c r="L749" s="195"/>
    </row>
    <row r="750" spans="1:12" customFormat="1" ht="31.5" outlineLevel="1" x14ac:dyDescent="0.2">
      <c r="A750" s="25" t="s">
        <v>2551</v>
      </c>
      <c r="B750" s="70" t="s">
        <v>851</v>
      </c>
      <c r="C750" s="107"/>
      <c r="D750" s="118"/>
      <c r="E750" s="118"/>
      <c r="F750" s="118"/>
      <c r="G750" s="118"/>
      <c r="H750" s="304">
        <f t="shared" si="99"/>
        <v>0</v>
      </c>
      <c r="I750" s="304">
        <f t="shared" si="100"/>
        <v>0</v>
      </c>
      <c r="L750" s="195"/>
    </row>
    <row r="751" spans="1:12" customFormat="1" outlineLevel="2" x14ac:dyDescent="0.2">
      <c r="A751" s="338" t="s">
        <v>2595</v>
      </c>
      <c r="B751" s="70" t="s">
        <v>852</v>
      </c>
      <c r="C751" s="213" t="s">
        <v>487</v>
      </c>
      <c r="D751" s="118">
        <f t="shared" si="96"/>
        <v>84.166666666666657</v>
      </c>
      <c r="E751" s="118">
        <f t="shared" si="97"/>
        <v>16.833333333333336</v>
      </c>
      <c r="F751" s="118">
        <f t="shared" si="98"/>
        <v>101</v>
      </c>
      <c r="G751" s="118">
        <v>93</v>
      </c>
      <c r="H751" s="304">
        <f t="shared" si="99"/>
        <v>100.81200000000001</v>
      </c>
      <c r="I751" s="304">
        <f t="shared" si="100"/>
        <v>101</v>
      </c>
      <c r="L751" s="195"/>
    </row>
    <row r="752" spans="1:12" customFormat="1" outlineLevel="2" x14ac:dyDescent="0.2">
      <c r="A752" s="338" t="s">
        <v>2596</v>
      </c>
      <c r="B752" s="70" t="s">
        <v>826</v>
      </c>
      <c r="C752" s="213" t="s">
        <v>487</v>
      </c>
      <c r="D752" s="118">
        <f t="shared" si="96"/>
        <v>57.5</v>
      </c>
      <c r="E752" s="118">
        <f t="shared" si="97"/>
        <v>11.5</v>
      </c>
      <c r="F752" s="118">
        <f t="shared" si="98"/>
        <v>69</v>
      </c>
      <c r="G752" s="118">
        <v>64</v>
      </c>
      <c r="H752" s="304">
        <f t="shared" si="99"/>
        <v>69.376000000000005</v>
      </c>
      <c r="I752" s="304">
        <f t="shared" si="100"/>
        <v>69</v>
      </c>
      <c r="L752" s="195"/>
    </row>
    <row r="753" spans="1:12" customFormat="1" outlineLevel="1" x14ac:dyDescent="0.2">
      <c r="A753" s="25" t="s">
        <v>2552</v>
      </c>
      <c r="B753" s="70" t="s">
        <v>853</v>
      </c>
      <c r="C753" s="107" t="s">
        <v>487</v>
      </c>
      <c r="D753" s="118">
        <f t="shared" si="96"/>
        <v>55.833333333333329</v>
      </c>
      <c r="E753" s="118">
        <f t="shared" si="97"/>
        <v>11.166666666666668</v>
      </c>
      <c r="F753" s="118">
        <f t="shared" si="98"/>
        <v>67</v>
      </c>
      <c r="G753" s="118">
        <v>62</v>
      </c>
      <c r="H753" s="304">
        <f t="shared" si="99"/>
        <v>67.207999999999998</v>
      </c>
      <c r="I753" s="304">
        <f t="shared" si="100"/>
        <v>67</v>
      </c>
      <c r="L753" s="195"/>
    </row>
    <row r="754" spans="1:12" customFormat="1" outlineLevel="1" x14ac:dyDescent="0.2">
      <c r="A754" s="25" t="s">
        <v>2553</v>
      </c>
      <c r="B754" s="70" t="s">
        <v>854</v>
      </c>
      <c r="C754" s="107" t="s">
        <v>487</v>
      </c>
      <c r="D754" s="118">
        <f t="shared" si="96"/>
        <v>846.66666666666663</v>
      </c>
      <c r="E754" s="118">
        <f t="shared" si="97"/>
        <v>169.33333333333337</v>
      </c>
      <c r="F754" s="118">
        <f t="shared" si="98"/>
        <v>1016</v>
      </c>
      <c r="G754" s="118">
        <v>937</v>
      </c>
      <c r="H754" s="304">
        <f t="shared" si="99"/>
        <v>1015.7080000000001</v>
      </c>
      <c r="I754" s="304">
        <f t="shared" si="100"/>
        <v>1016</v>
      </c>
      <c r="L754" s="195"/>
    </row>
    <row r="755" spans="1:12" customFormat="1" outlineLevel="1" x14ac:dyDescent="0.2">
      <c r="A755" s="25" t="s">
        <v>2554</v>
      </c>
      <c r="B755" s="70" t="s">
        <v>855</v>
      </c>
      <c r="C755" s="107" t="s">
        <v>487</v>
      </c>
      <c r="D755" s="118">
        <f t="shared" si="96"/>
        <v>508.33333333333331</v>
      </c>
      <c r="E755" s="118">
        <f t="shared" si="97"/>
        <v>101.66666666666669</v>
      </c>
      <c r="F755" s="118">
        <f t="shared" si="98"/>
        <v>610</v>
      </c>
      <c r="G755" s="118">
        <v>563</v>
      </c>
      <c r="H755" s="304">
        <f t="shared" si="99"/>
        <v>610.29200000000003</v>
      </c>
      <c r="I755" s="304">
        <f t="shared" si="100"/>
        <v>610</v>
      </c>
      <c r="L755" s="195"/>
    </row>
    <row r="756" spans="1:12" customFormat="1" outlineLevel="1" x14ac:dyDescent="0.2">
      <c r="A756" s="25" t="s">
        <v>2555</v>
      </c>
      <c r="B756" s="70" t="s">
        <v>2746</v>
      </c>
      <c r="C756" s="107"/>
      <c r="D756" s="118"/>
      <c r="E756" s="118"/>
      <c r="F756" s="118"/>
      <c r="G756" s="118"/>
      <c r="H756" s="304">
        <f t="shared" si="99"/>
        <v>0</v>
      </c>
      <c r="I756" s="304">
        <f t="shared" si="100"/>
        <v>0</v>
      </c>
      <c r="L756" s="195"/>
    </row>
    <row r="757" spans="1:12" customFormat="1" outlineLevel="2" x14ac:dyDescent="0.2">
      <c r="A757" s="338" t="s">
        <v>2747</v>
      </c>
      <c r="B757" s="70" t="s">
        <v>826</v>
      </c>
      <c r="C757" s="220" t="s">
        <v>700</v>
      </c>
      <c r="D757" s="118">
        <f t="shared" si="96"/>
        <v>313.33333333333331</v>
      </c>
      <c r="E757" s="118">
        <f t="shared" si="97"/>
        <v>62.666666666666679</v>
      </c>
      <c r="F757" s="118">
        <f t="shared" si="98"/>
        <v>376</v>
      </c>
      <c r="G757" s="118">
        <v>347</v>
      </c>
      <c r="H757" s="304">
        <f t="shared" si="99"/>
        <v>376.14800000000002</v>
      </c>
      <c r="I757" s="304">
        <f t="shared" si="100"/>
        <v>376</v>
      </c>
      <c r="L757" s="195"/>
    </row>
    <row r="758" spans="1:12" customFormat="1" outlineLevel="2" x14ac:dyDescent="0.2">
      <c r="A758" s="338" t="s">
        <v>2748</v>
      </c>
      <c r="B758" s="70" t="s">
        <v>824</v>
      </c>
      <c r="C758" s="220" t="s">
        <v>700</v>
      </c>
      <c r="D758" s="118">
        <f t="shared" si="96"/>
        <v>659.16666666666663</v>
      </c>
      <c r="E758" s="118">
        <f t="shared" si="97"/>
        <v>131.83333333333334</v>
      </c>
      <c r="F758" s="118">
        <f t="shared" si="98"/>
        <v>791</v>
      </c>
      <c r="G758" s="118">
        <v>730</v>
      </c>
      <c r="H758" s="304">
        <f t="shared" si="99"/>
        <v>791.32</v>
      </c>
      <c r="I758" s="304">
        <f t="shared" si="100"/>
        <v>791</v>
      </c>
      <c r="L758" s="195"/>
    </row>
    <row r="759" spans="1:12" customFormat="1" outlineLevel="1" x14ac:dyDescent="0.2">
      <c r="A759" s="25" t="s">
        <v>2556</v>
      </c>
      <c r="B759" s="70" t="s">
        <v>857</v>
      </c>
      <c r="C759" s="107"/>
      <c r="D759" s="118"/>
      <c r="E759" s="118"/>
      <c r="F759" s="118"/>
      <c r="G759" s="118"/>
      <c r="H759" s="304">
        <f t="shared" si="99"/>
        <v>0</v>
      </c>
      <c r="I759" s="304">
        <f t="shared" si="100"/>
        <v>0</v>
      </c>
      <c r="L759" s="195"/>
    </row>
    <row r="760" spans="1:12" customFormat="1" outlineLevel="2" x14ac:dyDescent="0.2">
      <c r="A760" s="338" t="s">
        <v>2597</v>
      </c>
      <c r="B760" s="70" t="s">
        <v>858</v>
      </c>
      <c r="C760" s="213" t="s">
        <v>487</v>
      </c>
      <c r="D760" s="118">
        <f t="shared" si="96"/>
        <v>419.16666666666663</v>
      </c>
      <c r="E760" s="118">
        <f t="shared" si="97"/>
        <v>83.833333333333343</v>
      </c>
      <c r="F760" s="118">
        <f t="shared" si="98"/>
        <v>503</v>
      </c>
      <c r="G760" s="118">
        <v>464</v>
      </c>
      <c r="H760" s="304">
        <f t="shared" si="99"/>
        <v>502.97600000000006</v>
      </c>
      <c r="I760" s="304">
        <f t="shared" si="100"/>
        <v>503</v>
      </c>
      <c r="L760" s="195"/>
    </row>
    <row r="761" spans="1:12" customFormat="1" outlineLevel="2" x14ac:dyDescent="0.2">
      <c r="A761" s="338" t="s">
        <v>2598</v>
      </c>
      <c r="B761" s="70" t="s">
        <v>859</v>
      </c>
      <c r="C761" s="213" t="s">
        <v>487</v>
      </c>
      <c r="D761" s="118">
        <f t="shared" si="96"/>
        <v>706.66666666666663</v>
      </c>
      <c r="E761" s="118">
        <f t="shared" si="97"/>
        <v>141.33333333333334</v>
      </c>
      <c r="F761" s="118">
        <f t="shared" si="98"/>
        <v>848</v>
      </c>
      <c r="G761" s="118">
        <v>782</v>
      </c>
      <c r="H761" s="304">
        <f t="shared" si="99"/>
        <v>847.6880000000001</v>
      </c>
      <c r="I761" s="304">
        <f t="shared" si="100"/>
        <v>848</v>
      </c>
      <c r="L761" s="195"/>
    </row>
    <row r="762" spans="1:12" customFormat="1" outlineLevel="1" x14ac:dyDescent="0.2">
      <c r="A762" s="25" t="s">
        <v>2557</v>
      </c>
      <c r="B762" s="70" t="s">
        <v>860</v>
      </c>
      <c r="C762" s="213" t="s">
        <v>487</v>
      </c>
      <c r="D762" s="118">
        <f t="shared" si="96"/>
        <v>282.5</v>
      </c>
      <c r="E762" s="118">
        <f t="shared" si="97"/>
        <v>56.5</v>
      </c>
      <c r="F762" s="118">
        <f t="shared" si="98"/>
        <v>339</v>
      </c>
      <c r="G762" s="118">
        <v>313</v>
      </c>
      <c r="H762" s="304">
        <f t="shared" si="99"/>
        <v>339.29200000000003</v>
      </c>
      <c r="I762" s="304">
        <f t="shared" si="100"/>
        <v>339</v>
      </c>
      <c r="L762" s="195"/>
    </row>
    <row r="763" spans="1:12" customFormat="1" outlineLevel="1" x14ac:dyDescent="0.2">
      <c r="A763" s="25" t="s">
        <v>2558</v>
      </c>
      <c r="B763" s="70" t="s">
        <v>861</v>
      </c>
      <c r="C763" s="213" t="s">
        <v>487</v>
      </c>
      <c r="D763" s="118">
        <f t="shared" si="96"/>
        <v>365.83333333333331</v>
      </c>
      <c r="E763" s="118">
        <f t="shared" si="97"/>
        <v>73.166666666666671</v>
      </c>
      <c r="F763" s="118">
        <f t="shared" si="98"/>
        <v>439</v>
      </c>
      <c r="G763" s="118">
        <v>405</v>
      </c>
      <c r="H763" s="304">
        <f t="shared" si="99"/>
        <v>439.02000000000004</v>
      </c>
      <c r="I763" s="304">
        <f t="shared" si="100"/>
        <v>439</v>
      </c>
      <c r="L763" s="195"/>
    </row>
    <row r="764" spans="1:12" customFormat="1" outlineLevel="1" x14ac:dyDescent="0.2">
      <c r="A764" s="25" t="s">
        <v>2559</v>
      </c>
      <c r="B764" s="70" t="s">
        <v>862</v>
      </c>
      <c r="C764" s="213"/>
      <c r="D764" s="118"/>
      <c r="E764" s="118"/>
      <c r="F764" s="118"/>
      <c r="G764" s="118"/>
      <c r="H764" s="304">
        <f t="shared" si="99"/>
        <v>0</v>
      </c>
      <c r="I764" s="304">
        <f t="shared" si="100"/>
        <v>0</v>
      </c>
      <c r="L764" s="195"/>
    </row>
    <row r="765" spans="1:12" customFormat="1" outlineLevel="2" x14ac:dyDescent="0.2">
      <c r="A765" s="338" t="s">
        <v>2599</v>
      </c>
      <c r="B765" s="70" t="s">
        <v>852</v>
      </c>
      <c r="C765" s="213" t="s">
        <v>487</v>
      </c>
      <c r="D765" s="118">
        <f t="shared" si="96"/>
        <v>113.33333333333333</v>
      </c>
      <c r="E765" s="118">
        <f t="shared" si="97"/>
        <v>22.666666666666671</v>
      </c>
      <c r="F765" s="118">
        <f t="shared" si="98"/>
        <v>136</v>
      </c>
      <c r="G765" s="118">
        <v>125</v>
      </c>
      <c r="H765" s="304">
        <f t="shared" si="99"/>
        <v>135.5</v>
      </c>
      <c r="I765" s="304">
        <f t="shared" si="100"/>
        <v>136</v>
      </c>
      <c r="L765" s="195"/>
    </row>
    <row r="766" spans="1:12" customFormat="1" outlineLevel="2" x14ac:dyDescent="0.2">
      <c r="A766" s="338" t="s">
        <v>2600</v>
      </c>
      <c r="B766" s="70" t="s">
        <v>826</v>
      </c>
      <c r="C766" s="213" t="s">
        <v>487</v>
      </c>
      <c r="D766" s="118">
        <f t="shared" si="96"/>
        <v>55.833333333333329</v>
      </c>
      <c r="E766" s="118">
        <f t="shared" si="97"/>
        <v>11.166666666666668</v>
      </c>
      <c r="F766" s="118">
        <f t="shared" si="98"/>
        <v>67</v>
      </c>
      <c r="G766" s="118">
        <v>62</v>
      </c>
      <c r="H766" s="304">
        <f t="shared" si="99"/>
        <v>67.207999999999998</v>
      </c>
      <c r="I766" s="304">
        <f t="shared" si="100"/>
        <v>67</v>
      </c>
      <c r="L766" s="195"/>
    </row>
    <row r="767" spans="1:12" customFormat="1" outlineLevel="2" x14ac:dyDescent="0.2">
      <c r="A767" s="338" t="s">
        <v>2601</v>
      </c>
      <c r="B767" s="70" t="s">
        <v>825</v>
      </c>
      <c r="C767" s="213" t="s">
        <v>487</v>
      </c>
      <c r="D767" s="118">
        <f t="shared" si="96"/>
        <v>73.333333333333329</v>
      </c>
      <c r="E767" s="118">
        <f t="shared" si="97"/>
        <v>14.66666666666667</v>
      </c>
      <c r="F767" s="118">
        <f t="shared" si="98"/>
        <v>88</v>
      </c>
      <c r="G767" s="118">
        <v>81</v>
      </c>
      <c r="H767" s="304">
        <f t="shared" si="99"/>
        <v>87.804000000000002</v>
      </c>
      <c r="I767" s="304">
        <f t="shared" si="100"/>
        <v>88</v>
      </c>
      <c r="L767" s="195"/>
    </row>
    <row r="768" spans="1:12" customFormat="1" outlineLevel="2" x14ac:dyDescent="0.2">
      <c r="A768" s="338" t="s">
        <v>2602</v>
      </c>
      <c r="B768" s="70" t="s">
        <v>863</v>
      </c>
      <c r="C768" s="213" t="s">
        <v>487</v>
      </c>
      <c r="D768" s="118">
        <f t="shared" si="96"/>
        <v>21.666666666666664</v>
      </c>
      <c r="E768" s="118">
        <f t="shared" si="97"/>
        <v>4.3333333333333339</v>
      </c>
      <c r="F768" s="118">
        <f t="shared" si="98"/>
        <v>26</v>
      </c>
      <c r="G768" s="118">
        <v>24</v>
      </c>
      <c r="H768" s="304">
        <f t="shared" si="99"/>
        <v>26.016000000000002</v>
      </c>
      <c r="I768" s="304">
        <f t="shared" si="100"/>
        <v>26</v>
      </c>
      <c r="L768" s="195"/>
    </row>
    <row r="769" spans="1:12" customFormat="1" outlineLevel="2" x14ac:dyDescent="0.2">
      <c r="A769" s="338" t="s">
        <v>2603</v>
      </c>
      <c r="B769" s="70" t="s">
        <v>864</v>
      </c>
      <c r="C769" s="213" t="s">
        <v>487</v>
      </c>
      <c r="D769" s="118">
        <f t="shared" si="96"/>
        <v>113.33333333333333</v>
      </c>
      <c r="E769" s="118">
        <f t="shared" si="97"/>
        <v>22.666666666666671</v>
      </c>
      <c r="F769" s="118">
        <f t="shared" si="98"/>
        <v>136</v>
      </c>
      <c r="G769" s="118">
        <v>125</v>
      </c>
      <c r="H769" s="304">
        <f t="shared" si="99"/>
        <v>135.5</v>
      </c>
      <c r="I769" s="304">
        <f t="shared" si="100"/>
        <v>136</v>
      </c>
      <c r="L769" s="195"/>
    </row>
    <row r="770" spans="1:12" customFormat="1" outlineLevel="1" x14ac:dyDescent="0.2">
      <c r="A770" s="25" t="s">
        <v>2560</v>
      </c>
      <c r="B770" s="70" t="s">
        <v>865</v>
      </c>
      <c r="C770" s="107" t="s">
        <v>543</v>
      </c>
      <c r="D770" s="118">
        <f t="shared" si="96"/>
        <v>367.5</v>
      </c>
      <c r="E770" s="118">
        <f t="shared" si="97"/>
        <v>73.5</v>
      </c>
      <c r="F770" s="118">
        <f t="shared" si="98"/>
        <v>441</v>
      </c>
      <c r="G770" s="118">
        <v>407</v>
      </c>
      <c r="H770" s="304">
        <f t="shared" si="99"/>
        <v>441.18800000000005</v>
      </c>
      <c r="I770" s="304">
        <f t="shared" si="100"/>
        <v>441</v>
      </c>
      <c r="L770" s="195"/>
    </row>
    <row r="771" spans="1:12" customFormat="1" outlineLevel="1" x14ac:dyDescent="0.2">
      <c r="A771" s="25" t="s">
        <v>2561</v>
      </c>
      <c r="B771" s="70" t="s">
        <v>866</v>
      </c>
      <c r="C771" s="107" t="s">
        <v>487</v>
      </c>
      <c r="D771" s="118">
        <f t="shared" si="96"/>
        <v>565.83333333333326</v>
      </c>
      <c r="E771" s="118">
        <f t="shared" si="97"/>
        <v>113.16666666666669</v>
      </c>
      <c r="F771" s="118">
        <f t="shared" si="98"/>
        <v>679</v>
      </c>
      <c r="G771" s="118">
        <v>626</v>
      </c>
      <c r="H771" s="304">
        <f t="shared" si="99"/>
        <v>678.58400000000006</v>
      </c>
      <c r="I771" s="304">
        <f t="shared" si="100"/>
        <v>679</v>
      </c>
      <c r="L771" s="195"/>
    </row>
    <row r="772" spans="1:12" customFormat="1" outlineLevel="1" x14ac:dyDescent="0.2">
      <c r="A772" s="25" t="s">
        <v>2562</v>
      </c>
      <c r="B772" s="70" t="s">
        <v>867</v>
      </c>
      <c r="C772" s="107" t="s">
        <v>487</v>
      </c>
      <c r="D772" s="118">
        <f t="shared" si="96"/>
        <v>55.833333333333329</v>
      </c>
      <c r="E772" s="118">
        <f t="shared" si="97"/>
        <v>11.166666666666668</v>
      </c>
      <c r="F772" s="118">
        <f t="shared" si="98"/>
        <v>67</v>
      </c>
      <c r="G772" s="118">
        <v>62</v>
      </c>
      <c r="H772" s="304">
        <f t="shared" si="99"/>
        <v>67.207999999999998</v>
      </c>
      <c r="I772" s="304">
        <f t="shared" si="100"/>
        <v>67</v>
      </c>
      <c r="L772" s="195"/>
    </row>
    <row r="773" spans="1:12" customFormat="1" outlineLevel="1" x14ac:dyDescent="0.2">
      <c r="A773" s="25" t="s">
        <v>2563</v>
      </c>
      <c r="B773" s="70" t="s">
        <v>868</v>
      </c>
      <c r="C773" s="107" t="s">
        <v>487</v>
      </c>
      <c r="D773" s="118">
        <f t="shared" si="96"/>
        <v>565.83333333333326</v>
      </c>
      <c r="E773" s="118">
        <f t="shared" si="97"/>
        <v>113.16666666666669</v>
      </c>
      <c r="F773" s="118">
        <f t="shared" si="98"/>
        <v>679</v>
      </c>
      <c r="G773" s="118">
        <v>626</v>
      </c>
      <c r="H773" s="304">
        <f t="shared" si="99"/>
        <v>678.58400000000006</v>
      </c>
      <c r="I773" s="304">
        <f t="shared" si="100"/>
        <v>679</v>
      </c>
      <c r="L773" s="195"/>
    </row>
    <row r="774" spans="1:12" customFormat="1" outlineLevel="1" x14ac:dyDescent="0.2">
      <c r="A774" s="25" t="s">
        <v>2564</v>
      </c>
      <c r="B774" s="70" t="s">
        <v>869</v>
      </c>
      <c r="C774" s="107" t="s">
        <v>487</v>
      </c>
      <c r="D774" s="118">
        <f t="shared" si="96"/>
        <v>508.33333333333331</v>
      </c>
      <c r="E774" s="118">
        <f t="shared" si="97"/>
        <v>101.66666666666669</v>
      </c>
      <c r="F774" s="118">
        <f t="shared" si="98"/>
        <v>610</v>
      </c>
      <c r="G774" s="118">
        <v>563</v>
      </c>
      <c r="H774" s="304">
        <f t="shared" si="99"/>
        <v>610.29200000000003</v>
      </c>
      <c r="I774" s="304">
        <f t="shared" si="100"/>
        <v>610</v>
      </c>
      <c r="L774" s="195"/>
    </row>
    <row r="775" spans="1:12" customFormat="1" outlineLevel="1" x14ac:dyDescent="0.2">
      <c r="A775" s="25" t="s">
        <v>2565</v>
      </c>
      <c r="B775" s="70" t="s">
        <v>870</v>
      </c>
      <c r="C775" s="107" t="s">
        <v>487</v>
      </c>
      <c r="D775" s="118">
        <f t="shared" si="96"/>
        <v>706.66666666666663</v>
      </c>
      <c r="E775" s="118">
        <f t="shared" si="97"/>
        <v>141.33333333333334</v>
      </c>
      <c r="F775" s="118">
        <f t="shared" si="98"/>
        <v>848</v>
      </c>
      <c r="G775" s="118">
        <v>782</v>
      </c>
      <c r="H775" s="304">
        <f t="shared" si="99"/>
        <v>847.6880000000001</v>
      </c>
      <c r="I775" s="304">
        <f t="shared" si="100"/>
        <v>848</v>
      </c>
      <c r="L775" s="195"/>
    </row>
    <row r="776" spans="1:12" customFormat="1" outlineLevel="1" x14ac:dyDescent="0.2">
      <c r="A776" s="25" t="s">
        <v>2566</v>
      </c>
      <c r="B776" s="70" t="s">
        <v>871</v>
      </c>
      <c r="C776" s="107" t="s">
        <v>487</v>
      </c>
      <c r="D776" s="118">
        <f t="shared" si="96"/>
        <v>423.33333333333331</v>
      </c>
      <c r="E776" s="118">
        <f t="shared" si="97"/>
        <v>84.666666666666686</v>
      </c>
      <c r="F776" s="118">
        <f t="shared" si="98"/>
        <v>508</v>
      </c>
      <c r="G776" s="118">
        <v>469</v>
      </c>
      <c r="H776" s="304">
        <f t="shared" si="99"/>
        <v>508.39600000000002</v>
      </c>
      <c r="I776" s="304">
        <f t="shared" si="100"/>
        <v>508</v>
      </c>
      <c r="L776" s="195"/>
    </row>
    <row r="777" spans="1:12" customFormat="1" outlineLevel="1" x14ac:dyDescent="0.2">
      <c r="A777" s="25" t="s">
        <v>2567</v>
      </c>
      <c r="B777" s="70" t="s">
        <v>872</v>
      </c>
      <c r="C777" s="107" t="s">
        <v>487</v>
      </c>
      <c r="D777" s="118">
        <f t="shared" si="96"/>
        <v>565.83333333333326</v>
      </c>
      <c r="E777" s="118">
        <f t="shared" si="97"/>
        <v>113.16666666666669</v>
      </c>
      <c r="F777" s="118">
        <f t="shared" si="98"/>
        <v>679</v>
      </c>
      <c r="G777" s="118">
        <v>626</v>
      </c>
      <c r="H777" s="304">
        <f t="shared" si="99"/>
        <v>678.58400000000006</v>
      </c>
      <c r="I777" s="304">
        <f t="shared" si="100"/>
        <v>679</v>
      </c>
      <c r="L777" s="195"/>
    </row>
    <row r="778" spans="1:12" customFormat="1" outlineLevel="1" x14ac:dyDescent="0.2">
      <c r="A778" s="25" t="s">
        <v>2568</v>
      </c>
      <c r="B778" s="70" t="s">
        <v>873</v>
      </c>
      <c r="C778" s="107" t="s">
        <v>487</v>
      </c>
      <c r="D778" s="118">
        <f t="shared" si="96"/>
        <v>846.66666666666663</v>
      </c>
      <c r="E778" s="118">
        <f t="shared" si="97"/>
        <v>169.33333333333337</v>
      </c>
      <c r="F778" s="118">
        <f t="shared" si="98"/>
        <v>1016</v>
      </c>
      <c r="G778" s="118">
        <v>937</v>
      </c>
      <c r="H778" s="304">
        <f t="shared" si="99"/>
        <v>1015.7080000000001</v>
      </c>
      <c r="I778" s="304">
        <f t="shared" si="100"/>
        <v>1016</v>
      </c>
      <c r="L778" s="195"/>
    </row>
    <row r="779" spans="1:12" customFormat="1" outlineLevel="1" x14ac:dyDescent="0.2">
      <c r="A779" s="25" t="s">
        <v>2569</v>
      </c>
      <c r="B779" s="70" t="s">
        <v>874</v>
      </c>
      <c r="C779" s="107" t="s">
        <v>487</v>
      </c>
      <c r="D779" s="118">
        <f t="shared" si="96"/>
        <v>1412.5</v>
      </c>
      <c r="E779" s="118">
        <f t="shared" si="97"/>
        <v>282.5</v>
      </c>
      <c r="F779" s="118">
        <f t="shared" si="98"/>
        <v>1695</v>
      </c>
      <c r="G779" s="118">
        <v>1564</v>
      </c>
      <c r="H779" s="304">
        <f t="shared" si="99"/>
        <v>1695.3760000000002</v>
      </c>
      <c r="I779" s="304">
        <f t="shared" si="100"/>
        <v>1695</v>
      </c>
      <c r="L779" s="195"/>
    </row>
    <row r="780" spans="1:12" customFormat="1" outlineLevel="1" x14ac:dyDescent="0.2">
      <c r="A780" s="25" t="s">
        <v>2570</v>
      </c>
      <c r="B780" s="70" t="s">
        <v>875</v>
      </c>
      <c r="C780" s="107" t="s">
        <v>487</v>
      </c>
      <c r="D780" s="118">
        <f t="shared" si="96"/>
        <v>2542.5</v>
      </c>
      <c r="E780" s="118">
        <f t="shared" si="97"/>
        <v>508.5</v>
      </c>
      <c r="F780" s="118">
        <f t="shared" si="98"/>
        <v>3051</v>
      </c>
      <c r="G780" s="118">
        <v>2815</v>
      </c>
      <c r="H780" s="304">
        <f t="shared" si="99"/>
        <v>3051.46</v>
      </c>
      <c r="I780" s="304">
        <f t="shared" si="100"/>
        <v>3051</v>
      </c>
      <c r="L780" s="195"/>
    </row>
    <row r="781" spans="1:12" customFormat="1" outlineLevel="1" x14ac:dyDescent="0.2">
      <c r="A781" s="25" t="s">
        <v>2571</v>
      </c>
      <c r="B781" s="70" t="s">
        <v>876</v>
      </c>
      <c r="C781" s="107"/>
      <c r="D781" s="118"/>
      <c r="E781" s="118"/>
      <c r="F781" s="118"/>
      <c r="G781" s="118"/>
      <c r="H781" s="304">
        <f t="shared" si="99"/>
        <v>0</v>
      </c>
      <c r="I781" s="304">
        <f t="shared" si="100"/>
        <v>0</v>
      </c>
      <c r="L781" s="195"/>
    </row>
    <row r="782" spans="1:12" customFormat="1" outlineLevel="2" x14ac:dyDescent="0.2">
      <c r="A782" s="338" t="s">
        <v>2604</v>
      </c>
      <c r="B782" s="70" t="s">
        <v>877</v>
      </c>
      <c r="C782" s="213" t="s">
        <v>487</v>
      </c>
      <c r="D782" s="118">
        <f t="shared" si="96"/>
        <v>355.83333333333331</v>
      </c>
      <c r="E782" s="118">
        <f t="shared" si="97"/>
        <v>71.166666666666671</v>
      </c>
      <c r="F782" s="118">
        <f t="shared" si="98"/>
        <v>427</v>
      </c>
      <c r="G782" s="118">
        <v>394</v>
      </c>
      <c r="H782" s="304">
        <f t="shared" si="99"/>
        <v>427.096</v>
      </c>
      <c r="I782" s="304">
        <f t="shared" si="100"/>
        <v>427</v>
      </c>
      <c r="L782" s="195"/>
    </row>
    <row r="783" spans="1:12" customFormat="1" outlineLevel="2" x14ac:dyDescent="0.2">
      <c r="A783" s="338" t="s">
        <v>2605</v>
      </c>
      <c r="B783" s="70" t="s">
        <v>878</v>
      </c>
      <c r="C783" s="213" t="s">
        <v>487</v>
      </c>
      <c r="D783" s="118">
        <f t="shared" si="96"/>
        <v>151.66666666666666</v>
      </c>
      <c r="E783" s="118">
        <f t="shared" si="97"/>
        <v>30.333333333333339</v>
      </c>
      <c r="F783" s="118">
        <f t="shared" si="98"/>
        <v>182</v>
      </c>
      <c r="G783" s="118">
        <v>168</v>
      </c>
      <c r="H783" s="304">
        <f t="shared" si="99"/>
        <v>182.11200000000002</v>
      </c>
      <c r="I783" s="304">
        <f t="shared" si="100"/>
        <v>182</v>
      </c>
      <c r="L783" s="195"/>
    </row>
    <row r="784" spans="1:12" customFormat="1" outlineLevel="2" x14ac:dyDescent="0.2">
      <c r="A784" s="338" t="s">
        <v>2606</v>
      </c>
      <c r="B784" s="70" t="s">
        <v>1540</v>
      </c>
      <c r="C784" s="213" t="s">
        <v>487</v>
      </c>
      <c r="D784" s="118">
        <f t="shared" si="96"/>
        <v>116.66666666666666</v>
      </c>
      <c r="E784" s="118">
        <f t="shared" si="97"/>
        <v>23.333333333333336</v>
      </c>
      <c r="F784" s="118">
        <f t="shared" si="98"/>
        <v>140</v>
      </c>
      <c r="G784" s="118">
        <v>129</v>
      </c>
      <c r="H784" s="304">
        <f t="shared" si="99"/>
        <v>139.83600000000001</v>
      </c>
      <c r="I784" s="304">
        <f t="shared" si="100"/>
        <v>140</v>
      </c>
      <c r="L784" s="195"/>
    </row>
    <row r="785" spans="1:12" customFormat="1" outlineLevel="1" x14ac:dyDescent="0.2">
      <c r="A785" s="25" t="s">
        <v>2572</v>
      </c>
      <c r="B785" s="70" t="s">
        <v>879</v>
      </c>
      <c r="C785" s="213" t="s">
        <v>487</v>
      </c>
      <c r="D785" s="118">
        <f t="shared" si="96"/>
        <v>0</v>
      </c>
      <c r="E785" s="118">
        <f t="shared" si="97"/>
        <v>0</v>
      </c>
      <c r="F785" s="118">
        <f t="shared" si="98"/>
        <v>0</v>
      </c>
      <c r="G785" s="118"/>
      <c r="H785" s="304">
        <f t="shared" si="99"/>
        <v>0</v>
      </c>
      <c r="I785" s="304">
        <f t="shared" si="100"/>
        <v>0</v>
      </c>
      <c r="L785" s="195"/>
    </row>
    <row r="786" spans="1:12" customFormat="1" outlineLevel="2" x14ac:dyDescent="0.2">
      <c r="A786" s="338" t="s">
        <v>2607</v>
      </c>
      <c r="B786" s="70" t="s">
        <v>877</v>
      </c>
      <c r="C786" s="213" t="s">
        <v>487</v>
      </c>
      <c r="D786" s="118">
        <f t="shared" si="96"/>
        <v>187.5</v>
      </c>
      <c r="E786" s="118">
        <f t="shared" si="97"/>
        <v>37.5</v>
      </c>
      <c r="F786" s="118">
        <f t="shared" si="98"/>
        <v>225</v>
      </c>
      <c r="G786" s="118">
        <v>208</v>
      </c>
      <c r="H786" s="304">
        <f t="shared" si="99"/>
        <v>225.47200000000001</v>
      </c>
      <c r="I786" s="304">
        <f t="shared" si="100"/>
        <v>225</v>
      </c>
      <c r="L786" s="195"/>
    </row>
    <row r="787" spans="1:12" customFormat="1" outlineLevel="2" x14ac:dyDescent="0.2">
      <c r="A787" s="338" t="s">
        <v>2608</v>
      </c>
      <c r="B787" s="70" t="s">
        <v>878</v>
      </c>
      <c r="C787" s="213" t="s">
        <v>487</v>
      </c>
      <c r="D787" s="118">
        <f t="shared" si="96"/>
        <v>52.5</v>
      </c>
      <c r="E787" s="118">
        <f t="shared" si="97"/>
        <v>10.5</v>
      </c>
      <c r="F787" s="118">
        <f t="shared" si="98"/>
        <v>63</v>
      </c>
      <c r="G787" s="118">
        <v>58</v>
      </c>
      <c r="H787" s="304">
        <f t="shared" si="99"/>
        <v>62.872000000000007</v>
      </c>
      <c r="I787" s="304">
        <f t="shared" si="100"/>
        <v>63</v>
      </c>
      <c r="L787" s="195"/>
    </row>
    <row r="788" spans="1:12" customFormat="1" outlineLevel="2" x14ac:dyDescent="0.2">
      <c r="A788" s="338" t="s">
        <v>2609</v>
      </c>
      <c r="B788" s="70" t="s">
        <v>880</v>
      </c>
      <c r="C788" s="213" t="s">
        <v>487</v>
      </c>
      <c r="D788" s="118">
        <f t="shared" si="96"/>
        <v>25.833333333333332</v>
      </c>
      <c r="E788" s="118">
        <f t="shared" si="97"/>
        <v>5.1666666666666679</v>
      </c>
      <c r="F788" s="118">
        <f t="shared" si="98"/>
        <v>31</v>
      </c>
      <c r="G788" s="118">
        <v>29</v>
      </c>
      <c r="H788" s="304">
        <f t="shared" si="99"/>
        <v>31.436000000000003</v>
      </c>
      <c r="I788" s="304">
        <f t="shared" si="100"/>
        <v>31</v>
      </c>
      <c r="L788" s="195"/>
    </row>
    <row r="789" spans="1:12" customFormat="1" ht="31.5" outlineLevel="1" x14ac:dyDescent="0.2">
      <c r="A789" s="25" t="s">
        <v>2573</v>
      </c>
      <c r="B789" s="70" t="s">
        <v>881</v>
      </c>
      <c r="C789" s="107"/>
      <c r="D789" s="118"/>
      <c r="E789" s="118"/>
      <c r="F789" s="118"/>
      <c r="G789" s="118"/>
      <c r="H789" s="304">
        <f t="shared" si="99"/>
        <v>0</v>
      </c>
      <c r="I789" s="304">
        <f t="shared" si="100"/>
        <v>0</v>
      </c>
      <c r="L789" s="195"/>
    </row>
    <row r="790" spans="1:12" customFormat="1" outlineLevel="2" x14ac:dyDescent="0.2">
      <c r="A790" s="338" t="s">
        <v>2610</v>
      </c>
      <c r="B790" s="70" t="s">
        <v>882</v>
      </c>
      <c r="C790" s="213" t="s">
        <v>766</v>
      </c>
      <c r="D790" s="118">
        <f t="shared" si="96"/>
        <v>1271.6666666666665</v>
      </c>
      <c r="E790" s="118">
        <f t="shared" si="97"/>
        <v>254.33333333333337</v>
      </c>
      <c r="F790" s="118">
        <f t="shared" si="98"/>
        <v>1526</v>
      </c>
      <c r="G790" s="118">
        <v>1408</v>
      </c>
      <c r="H790" s="304">
        <f t="shared" si="99"/>
        <v>1526.2720000000002</v>
      </c>
      <c r="I790" s="304">
        <f t="shared" si="100"/>
        <v>1526</v>
      </c>
      <c r="L790" s="195"/>
    </row>
    <row r="791" spans="1:12" customFormat="1" outlineLevel="2" x14ac:dyDescent="0.2">
      <c r="A791" s="338" t="s">
        <v>2611</v>
      </c>
      <c r="B791" s="70" t="s">
        <v>825</v>
      </c>
      <c r="C791" s="213" t="s">
        <v>766</v>
      </c>
      <c r="D791" s="118">
        <f t="shared" si="96"/>
        <v>260.83333333333331</v>
      </c>
      <c r="E791" s="118">
        <f t="shared" si="97"/>
        <v>52.166666666666679</v>
      </c>
      <c r="F791" s="118">
        <f t="shared" si="98"/>
        <v>313</v>
      </c>
      <c r="G791" s="118">
        <v>289</v>
      </c>
      <c r="H791" s="304">
        <f t="shared" si="99"/>
        <v>313.27600000000001</v>
      </c>
      <c r="I791" s="304">
        <f t="shared" si="100"/>
        <v>313</v>
      </c>
      <c r="L791" s="195"/>
    </row>
    <row r="792" spans="1:12" customFormat="1" outlineLevel="2" x14ac:dyDescent="0.2">
      <c r="A792" s="338" t="s">
        <v>2612</v>
      </c>
      <c r="B792" s="70" t="s">
        <v>826</v>
      </c>
      <c r="C792" s="213" t="s">
        <v>766</v>
      </c>
      <c r="D792" s="118">
        <f t="shared" si="96"/>
        <v>260.83333333333331</v>
      </c>
      <c r="E792" s="118">
        <f t="shared" si="97"/>
        <v>52.166666666666679</v>
      </c>
      <c r="F792" s="118">
        <f t="shared" si="98"/>
        <v>313</v>
      </c>
      <c r="G792" s="118">
        <v>289</v>
      </c>
      <c r="H792" s="304">
        <f t="shared" si="99"/>
        <v>313.27600000000001</v>
      </c>
      <c r="I792" s="304">
        <f t="shared" si="100"/>
        <v>313</v>
      </c>
      <c r="L792" s="195"/>
    </row>
    <row r="793" spans="1:12" customFormat="1" outlineLevel="2" x14ac:dyDescent="0.2">
      <c r="A793" s="338" t="s">
        <v>2613</v>
      </c>
      <c r="B793" s="70" t="s">
        <v>880</v>
      </c>
      <c r="C793" s="213" t="s">
        <v>766</v>
      </c>
      <c r="D793" s="118">
        <f t="shared" si="96"/>
        <v>42.5</v>
      </c>
      <c r="E793" s="118">
        <f t="shared" si="97"/>
        <v>8.5</v>
      </c>
      <c r="F793" s="118">
        <f t="shared" si="98"/>
        <v>51</v>
      </c>
      <c r="G793" s="118">
        <v>47</v>
      </c>
      <c r="H793" s="304">
        <f t="shared" si="99"/>
        <v>50.948</v>
      </c>
      <c r="I793" s="304">
        <f t="shared" si="100"/>
        <v>51</v>
      </c>
      <c r="L793" s="195"/>
    </row>
    <row r="794" spans="1:12" customFormat="1" outlineLevel="2" x14ac:dyDescent="0.2">
      <c r="A794" s="338" t="s">
        <v>2614</v>
      </c>
      <c r="B794" s="70" t="s">
        <v>883</v>
      </c>
      <c r="C794" s="213" t="s">
        <v>766</v>
      </c>
      <c r="D794" s="118">
        <f t="shared" si="96"/>
        <v>846.66666666666663</v>
      </c>
      <c r="E794" s="118">
        <f t="shared" si="97"/>
        <v>169.33333333333337</v>
      </c>
      <c r="F794" s="118">
        <f t="shared" si="98"/>
        <v>1016</v>
      </c>
      <c r="G794" s="118">
        <v>937</v>
      </c>
      <c r="H794" s="304">
        <f t="shared" si="99"/>
        <v>1015.7080000000001</v>
      </c>
      <c r="I794" s="304">
        <f t="shared" si="100"/>
        <v>1016</v>
      </c>
      <c r="L794" s="195"/>
    </row>
    <row r="795" spans="1:12" customFormat="1" outlineLevel="1" x14ac:dyDescent="0.2">
      <c r="A795" s="25" t="s">
        <v>2574</v>
      </c>
      <c r="B795" s="70" t="s">
        <v>884</v>
      </c>
      <c r="C795" s="107"/>
      <c r="D795" s="118"/>
      <c r="E795" s="118"/>
      <c r="F795" s="118"/>
      <c r="G795" s="118"/>
      <c r="H795" s="304">
        <f t="shared" si="99"/>
        <v>0</v>
      </c>
      <c r="I795" s="304">
        <f t="shared" si="100"/>
        <v>0</v>
      </c>
      <c r="L795" s="195"/>
    </row>
    <row r="796" spans="1:12" customFormat="1" outlineLevel="2" x14ac:dyDescent="0.2">
      <c r="A796" s="338" t="s">
        <v>2615</v>
      </c>
      <c r="B796" s="70" t="s">
        <v>885</v>
      </c>
      <c r="C796" s="213" t="s">
        <v>966</v>
      </c>
      <c r="D796" s="118">
        <f t="shared" si="96"/>
        <v>313.33333333333331</v>
      </c>
      <c r="E796" s="118">
        <f t="shared" si="97"/>
        <v>62.666666666666679</v>
      </c>
      <c r="F796" s="118">
        <f t="shared" si="98"/>
        <v>376</v>
      </c>
      <c r="G796" s="118">
        <v>347</v>
      </c>
      <c r="H796" s="304">
        <f t="shared" si="99"/>
        <v>376.14800000000002</v>
      </c>
      <c r="I796" s="304">
        <f t="shared" si="100"/>
        <v>376</v>
      </c>
      <c r="L796" s="195"/>
    </row>
    <row r="797" spans="1:12" customFormat="1" outlineLevel="2" x14ac:dyDescent="0.2">
      <c r="A797" s="338" t="s">
        <v>2616</v>
      </c>
      <c r="B797" s="70" t="s">
        <v>886</v>
      </c>
      <c r="C797" s="213" t="s">
        <v>966</v>
      </c>
      <c r="D797" s="118">
        <f t="shared" si="96"/>
        <v>523.33333333333326</v>
      </c>
      <c r="E797" s="118">
        <f t="shared" si="97"/>
        <v>104.66666666666669</v>
      </c>
      <c r="F797" s="118">
        <f t="shared" si="98"/>
        <v>628</v>
      </c>
      <c r="G797" s="118">
        <v>579</v>
      </c>
      <c r="H797" s="304">
        <f t="shared" si="99"/>
        <v>627.63600000000008</v>
      </c>
      <c r="I797" s="304">
        <f t="shared" si="100"/>
        <v>628</v>
      </c>
      <c r="L797" s="195"/>
    </row>
    <row r="798" spans="1:12" customFormat="1" outlineLevel="2" x14ac:dyDescent="0.2">
      <c r="A798" s="338" t="s">
        <v>2617</v>
      </c>
      <c r="B798" s="70" t="s">
        <v>887</v>
      </c>
      <c r="C798" s="213" t="s">
        <v>966</v>
      </c>
      <c r="D798" s="118">
        <f t="shared" si="96"/>
        <v>732.5</v>
      </c>
      <c r="E798" s="118">
        <f t="shared" si="97"/>
        <v>146.5</v>
      </c>
      <c r="F798" s="118">
        <f t="shared" si="98"/>
        <v>879</v>
      </c>
      <c r="G798" s="118">
        <v>811</v>
      </c>
      <c r="H798" s="304">
        <f t="shared" si="99"/>
        <v>879.12400000000002</v>
      </c>
      <c r="I798" s="304">
        <f t="shared" si="100"/>
        <v>879</v>
      </c>
      <c r="L798" s="195"/>
    </row>
    <row r="799" spans="1:12" customFormat="1" outlineLevel="2" x14ac:dyDescent="0.2">
      <c r="A799" s="338" t="s">
        <v>2618</v>
      </c>
      <c r="B799" s="70" t="s">
        <v>888</v>
      </c>
      <c r="C799" s="213" t="s">
        <v>966</v>
      </c>
      <c r="D799" s="118">
        <f t="shared" si="96"/>
        <v>1570</v>
      </c>
      <c r="E799" s="118">
        <f t="shared" si="97"/>
        <v>314</v>
      </c>
      <c r="F799" s="118">
        <f t="shared" si="98"/>
        <v>1884</v>
      </c>
      <c r="G799" s="118">
        <v>1738</v>
      </c>
      <c r="H799" s="304">
        <f t="shared" si="99"/>
        <v>1883.9920000000002</v>
      </c>
      <c r="I799" s="304">
        <f t="shared" si="100"/>
        <v>1884</v>
      </c>
      <c r="L799" s="195"/>
    </row>
    <row r="800" spans="1:12" customFormat="1" outlineLevel="1" x14ac:dyDescent="0.2">
      <c r="A800" s="25" t="s">
        <v>2575</v>
      </c>
      <c r="B800" s="70" t="s">
        <v>889</v>
      </c>
      <c r="C800" s="107" t="s">
        <v>890</v>
      </c>
      <c r="D800" s="118">
        <f t="shared" si="96"/>
        <v>157.5</v>
      </c>
      <c r="E800" s="118">
        <f t="shared" si="97"/>
        <v>31.5</v>
      </c>
      <c r="F800" s="118">
        <f t="shared" si="98"/>
        <v>189</v>
      </c>
      <c r="G800" s="118">
        <v>174</v>
      </c>
      <c r="H800" s="304">
        <f t="shared" si="99"/>
        <v>188.61600000000001</v>
      </c>
      <c r="I800" s="304">
        <f t="shared" si="100"/>
        <v>189</v>
      </c>
      <c r="L800" s="195"/>
    </row>
    <row r="801" spans="1:12" customFormat="1" ht="47.25" outlineLevel="1" x14ac:dyDescent="0.2">
      <c r="A801" s="25" t="s">
        <v>2576</v>
      </c>
      <c r="B801" s="70" t="s">
        <v>891</v>
      </c>
      <c r="C801" s="107"/>
      <c r="D801" s="118"/>
      <c r="E801" s="118"/>
      <c r="F801" s="118"/>
      <c r="G801" s="118"/>
      <c r="H801" s="304">
        <f t="shared" si="99"/>
        <v>0</v>
      </c>
      <c r="I801" s="304">
        <f t="shared" si="100"/>
        <v>0</v>
      </c>
      <c r="L801" s="195"/>
    </row>
    <row r="802" spans="1:12" customFormat="1" outlineLevel="2" x14ac:dyDescent="0.2">
      <c r="A802" s="338" t="s">
        <v>2619</v>
      </c>
      <c r="B802" s="70" t="s">
        <v>892</v>
      </c>
      <c r="C802" s="213" t="s">
        <v>418</v>
      </c>
      <c r="D802" s="118">
        <f t="shared" si="96"/>
        <v>423.33333333333331</v>
      </c>
      <c r="E802" s="118">
        <f t="shared" si="97"/>
        <v>84.666666666666686</v>
      </c>
      <c r="F802" s="118">
        <f t="shared" si="98"/>
        <v>508</v>
      </c>
      <c r="G802" s="118">
        <v>469</v>
      </c>
      <c r="H802" s="304">
        <f t="shared" si="99"/>
        <v>508.39600000000002</v>
      </c>
      <c r="I802" s="304">
        <f t="shared" si="100"/>
        <v>508</v>
      </c>
      <c r="L802" s="195"/>
    </row>
    <row r="803" spans="1:12" customFormat="1" outlineLevel="2" x14ac:dyDescent="0.2">
      <c r="A803" s="338" t="s">
        <v>2620</v>
      </c>
      <c r="B803" s="70" t="s">
        <v>893</v>
      </c>
      <c r="C803" s="213" t="s">
        <v>418</v>
      </c>
      <c r="D803" s="118">
        <f t="shared" si="96"/>
        <v>55.833333333333329</v>
      </c>
      <c r="E803" s="118">
        <f t="shared" si="97"/>
        <v>11.166666666666668</v>
      </c>
      <c r="F803" s="118">
        <f t="shared" si="98"/>
        <v>67</v>
      </c>
      <c r="G803" s="118">
        <v>62</v>
      </c>
      <c r="H803" s="304">
        <f t="shared" si="99"/>
        <v>67.207999999999998</v>
      </c>
      <c r="I803" s="304">
        <f t="shared" si="100"/>
        <v>67</v>
      </c>
      <c r="L803" s="195"/>
    </row>
    <row r="804" spans="1:12" customFormat="1" outlineLevel="1" x14ac:dyDescent="0.2">
      <c r="A804" s="25" t="s">
        <v>2577</v>
      </c>
      <c r="B804" s="70" t="s">
        <v>894</v>
      </c>
      <c r="C804" s="107" t="s">
        <v>487</v>
      </c>
      <c r="D804" s="118">
        <f t="shared" si="96"/>
        <v>523.33333333333326</v>
      </c>
      <c r="E804" s="118">
        <f t="shared" si="97"/>
        <v>104.66666666666669</v>
      </c>
      <c r="F804" s="118">
        <f t="shared" si="98"/>
        <v>628</v>
      </c>
      <c r="G804" s="118">
        <v>579</v>
      </c>
      <c r="H804" s="304">
        <f t="shared" si="99"/>
        <v>627.63600000000008</v>
      </c>
      <c r="I804" s="304">
        <f t="shared" si="100"/>
        <v>628</v>
      </c>
      <c r="L804" s="195"/>
    </row>
    <row r="805" spans="1:12" customFormat="1" outlineLevel="1" x14ac:dyDescent="0.2">
      <c r="A805" s="25" t="s">
        <v>2578</v>
      </c>
      <c r="B805" s="70" t="s">
        <v>895</v>
      </c>
      <c r="C805" s="107" t="s">
        <v>487</v>
      </c>
      <c r="D805" s="118">
        <f t="shared" si="96"/>
        <v>167.5</v>
      </c>
      <c r="E805" s="118">
        <f t="shared" si="97"/>
        <v>33.5</v>
      </c>
      <c r="F805" s="118">
        <f t="shared" si="98"/>
        <v>201</v>
      </c>
      <c r="G805" s="118">
        <v>185</v>
      </c>
      <c r="H805" s="304">
        <f t="shared" si="99"/>
        <v>200.54000000000002</v>
      </c>
      <c r="I805" s="304">
        <f t="shared" si="100"/>
        <v>201</v>
      </c>
      <c r="L805" s="195"/>
    </row>
    <row r="806" spans="1:12" customFormat="1" outlineLevel="1" x14ac:dyDescent="0.2">
      <c r="A806" s="25" t="s">
        <v>2579</v>
      </c>
      <c r="B806" s="70" t="s">
        <v>896</v>
      </c>
      <c r="C806" s="107" t="s">
        <v>6</v>
      </c>
      <c r="D806" s="118">
        <f t="shared" si="96"/>
        <v>45.833333333333329</v>
      </c>
      <c r="E806" s="118">
        <f t="shared" si="97"/>
        <v>9.1666666666666679</v>
      </c>
      <c r="F806" s="118">
        <f t="shared" si="98"/>
        <v>55</v>
      </c>
      <c r="G806" s="118">
        <v>51</v>
      </c>
      <c r="H806" s="304">
        <f t="shared" si="99"/>
        <v>55.284000000000006</v>
      </c>
      <c r="I806" s="304">
        <f t="shared" si="100"/>
        <v>55</v>
      </c>
      <c r="L806" s="195"/>
    </row>
    <row r="807" spans="1:12" customFormat="1" hidden="1" outlineLevel="1" x14ac:dyDescent="0.2">
      <c r="A807" s="276" t="s">
        <v>2580</v>
      </c>
      <c r="B807" s="266" t="s">
        <v>897</v>
      </c>
      <c r="C807" s="267" t="s">
        <v>487</v>
      </c>
      <c r="D807" s="118">
        <f t="shared" si="96"/>
        <v>193.33333333333331</v>
      </c>
      <c r="E807" s="118">
        <f t="shared" si="97"/>
        <v>38.666666666666671</v>
      </c>
      <c r="F807" s="118">
        <f t="shared" si="98"/>
        <v>232</v>
      </c>
      <c r="G807" s="268">
        <v>214</v>
      </c>
      <c r="H807" s="304">
        <f t="shared" si="99"/>
        <v>231.97600000000003</v>
      </c>
      <c r="I807" s="304">
        <f t="shared" si="100"/>
        <v>232</v>
      </c>
      <c r="J807" t="s">
        <v>3173</v>
      </c>
      <c r="L807" s="195"/>
    </row>
    <row r="808" spans="1:12" customFormat="1" outlineLevel="1" x14ac:dyDescent="0.2">
      <c r="A808" s="25" t="s">
        <v>2580</v>
      </c>
      <c r="B808" s="70" t="s">
        <v>897</v>
      </c>
      <c r="C808" s="275" t="s">
        <v>487</v>
      </c>
      <c r="D808" s="118">
        <f t="shared" si="96"/>
        <v>80</v>
      </c>
      <c r="E808" s="118">
        <f t="shared" si="97"/>
        <v>16</v>
      </c>
      <c r="F808" s="118">
        <f t="shared" si="98"/>
        <v>96</v>
      </c>
      <c r="G808" s="118">
        <v>89</v>
      </c>
      <c r="H808" s="304">
        <f t="shared" si="99"/>
        <v>96.476000000000013</v>
      </c>
      <c r="I808" s="304">
        <f t="shared" si="100"/>
        <v>96</v>
      </c>
      <c r="J808" t="s">
        <v>3174</v>
      </c>
      <c r="L808" s="195"/>
    </row>
    <row r="809" spans="1:12" customFormat="1" outlineLevel="1" x14ac:dyDescent="0.2">
      <c r="A809" s="25" t="s">
        <v>2581</v>
      </c>
      <c r="B809" s="70" t="s">
        <v>898</v>
      </c>
      <c r="C809" s="107" t="s">
        <v>487</v>
      </c>
      <c r="D809" s="118">
        <f t="shared" ref="D809:D823" si="101">F809-E809</f>
        <v>97.5</v>
      </c>
      <c r="E809" s="118">
        <f t="shared" ref="E809:E823" si="102">F809/1.2*0.2</f>
        <v>19.5</v>
      </c>
      <c r="F809" s="118">
        <f t="shared" ref="F809:F823" si="103">I809</f>
        <v>117</v>
      </c>
      <c r="G809" s="118">
        <v>108</v>
      </c>
      <c r="H809" s="304">
        <f t="shared" ref="H809:H823" si="104">G809*$H$8</f>
        <v>117.072</v>
      </c>
      <c r="I809" s="304">
        <f t="shared" ref="I809:I823" si="105">ROUND(H809,0)</f>
        <v>117</v>
      </c>
      <c r="L809" s="195"/>
    </row>
    <row r="810" spans="1:12" customFormat="1" outlineLevel="1" x14ac:dyDescent="0.2">
      <c r="A810" s="25" t="s">
        <v>2582</v>
      </c>
      <c r="B810" s="70" t="s">
        <v>899</v>
      </c>
      <c r="C810" s="107" t="s">
        <v>487</v>
      </c>
      <c r="D810" s="118">
        <f t="shared" si="101"/>
        <v>289.16666666666663</v>
      </c>
      <c r="E810" s="118">
        <f t="shared" si="102"/>
        <v>57.833333333333343</v>
      </c>
      <c r="F810" s="118">
        <f t="shared" si="103"/>
        <v>347</v>
      </c>
      <c r="G810" s="118">
        <v>320</v>
      </c>
      <c r="H810" s="304">
        <f t="shared" si="104"/>
        <v>346.88</v>
      </c>
      <c r="I810" s="304">
        <f t="shared" si="105"/>
        <v>347</v>
      </c>
      <c r="L810" s="195"/>
    </row>
    <row r="811" spans="1:12" customFormat="1" outlineLevel="1" x14ac:dyDescent="0.2">
      <c r="A811" s="25" t="s">
        <v>2583</v>
      </c>
      <c r="B811" s="70" t="s">
        <v>900</v>
      </c>
      <c r="C811" s="107" t="s">
        <v>487</v>
      </c>
      <c r="D811" s="118">
        <f t="shared" si="101"/>
        <v>2194.1666666666665</v>
      </c>
      <c r="E811" s="118">
        <f t="shared" si="102"/>
        <v>438.83333333333343</v>
      </c>
      <c r="F811" s="118">
        <f t="shared" si="103"/>
        <v>2633</v>
      </c>
      <c r="G811" s="123">
        <v>2429</v>
      </c>
      <c r="H811" s="304">
        <f t="shared" si="104"/>
        <v>2633.0360000000001</v>
      </c>
      <c r="I811" s="304">
        <f t="shared" si="105"/>
        <v>2633</v>
      </c>
      <c r="L811" s="195"/>
    </row>
    <row r="812" spans="1:12" customFormat="1" outlineLevel="1" x14ac:dyDescent="0.2">
      <c r="A812" s="25" t="s">
        <v>2751</v>
      </c>
      <c r="B812" s="70" t="s">
        <v>2752</v>
      </c>
      <c r="C812" s="220" t="s">
        <v>543</v>
      </c>
      <c r="D812" s="118">
        <f t="shared" si="101"/>
        <v>207.5</v>
      </c>
      <c r="E812" s="118">
        <f t="shared" si="102"/>
        <v>41.5</v>
      </c>
      <c r="F812" s="118">
        <f t="shared" si="103"/>
        <v>249</v>
      </c>
      <c r="G812" s="123">
        <v>230</v>
      </c>
      <c r="H812" s="304">
        <f t="shared" si="104"/>
        <v>249.32000000000002</v>
      </c>
      <c r="I812" s="304">
        <f t="shared" si="105"/>
        <v>249</v>
      </c>
      <c r="L812" s="195"/>
    </row>
    <row r="813" spans="1:12" customFormat="1" outlineLevel="1" x14ac:dyDescent="0.2">
      <c r="A813" s="25" t="s">
        <v>2753</v>
      </c>
      <c r="B813" s="70" t="s">
        <v>2754</v>
      </c>
      <c r="C813" s="220"/>
      <c r="D813" s="118"/>
      <c r="E813" s="118"/>
      <c r="F813" s="118"/>
      <c r="G813" s="123"/>
      <c r="H813" s="304">
        <f t="shared" si="104"/>
        <v>0</v>
      </c>
      <c r="I813" s="304">
        <f t="shared" si="105"/>
        <v>0</v>
      </c>
      <c r="L813" s="195"/>
    </row>
    <row r="814" spans="1:12" customFormat="1" outlineLevel="1" x14ac:dyDescent="0.2">
      <c r="A814" s="338" t="s">
        <v>2755</v>
      </c>
      <c r="B814" s="70" t="s">
        <v>824</v>
      </c>
      <c r="C814" s="220" t="s">
        <v>543</v>
      </c>
      <c r="D814" s="118">
        <f t="shared" si="101"/>
        <v>677.5</v>
      </c>
      <c r="E814" s="118">
        <f t="shared" si="102"/>
        <v>135.5</v>
      </c>
      <c r="F814" s="118">
        <f t="shared" si="103"/>
        <v>813</v>
      </c>
      <c r="G814" s="123">
        <v>750</v>
      </c>
      <c r="H814" s="304">
        <f t="shared" si="104"/>
        <v>813</v>
      </c>
      <c r="I814" s="304">
        <f t="shared" si="105"/>
        <v>813</v>
      </c>
      <c r="L814" s="195"/>
    </row>
    <row r="815" spans="1:12" customFormat="1" outlineLevel="1" x14ac:dyDescent="0.2">
      <c r="A815" s="338" t="s">
        <v>2756</v>
      </c>
      <c r="B815" s="70" t="s">
        <v>826</v>
      </c>
      <c r="C815" s="220" t="s">
        <v>543</v>
      </c>
      <c r="D815" s="118">
        <f t="shared" si="101"/>
        <v>451.66666666666663</v>
      </c>
      <c r="E815" s="118">
        <f t="shared" si="102"/>
        <v>90.333333333333343</v>
      </c>
      <c r="F815" s="118">
        <f t="shared" si="103"/>
        <v>542</v>
      </c>
      <c r="G815" s="123">
        <v>500</v>
      </c>
      <c r="H815" s="304">
        <f t="shared" si="104"/>
        <v>542</v>
      </c>
      <c r="I815" s="304">
        <f t="shared" si="105"/>
        <v>542</v>
      </c>
      <c r="L815" s="195"/>
    </row>
    <row r="816" spans="1:12" customFormat="1" outlineLevel="1" x14ac:dyDescent="0.2">
      <c r="A816" s="25" t="s">
        <v>3057</v>
      </c>
      <c r="B816" s="70" t="s">
        <v>3059</v>
      </c>
      <c r="C816" s="222" t="s">
        <v>946</v>
      </c>
      <c r="D816" s="118">
        <f t="shared" si="101"/>
        <v>451.66666666666663</v>
      </c>
      <c r="E816" s="118">
        <f t="shared" si="102"/>
        <v>90.333333333333343</v>
      </c>
      <c r="F816" s="118">
        <f t="shared" si="103"/>
        <v>542</v>
      </c>
      <c r="G816" s="118">
        <v>500</v>
      </c>
      <c r="H816" s="304">
        <f t="shared" si="104"/>
        <v>542</v>
      </c>
      <c r="I816" s="304">
        <f t="shared" si="105"/>
        <v>542</v>
      </c>
      <c r="L816" s="195"/>
    </row>
    <row r="817" spans="1:12" customFormat="1" outlineLevel="1" x14ac:dyDescent="0.2">
      <c r="A817" s="25" t="s">
        <v>3058</v>
      </c>
      <c r="B817" s="70" t="s">
        <v>3060</v>
      </c>
      <c r="C817" s="232" t="s">
        <v>946</v>
      </c>
      <c r="D817" s="118">
        <f t="shared" si="101"/>
        <v>451.66666666666663</v>
      </c>
      <c r="E817" s="118">
        <f t="shared" si="102"/>
        <v>90.333333333333343</v>
      </c>
      <c r="F817" s="118">
        <f t="shared" si="103"/>
        <v>542</v>
      </c>
      <c r="G817" s="123">
        <v>500</v>
      </c>
      <c r="H817" s="304">
        <f t="shared" si="104"/>
        <v>542</v>
      </c>
      <c r="I817" s="304">
        <f t="shared" si="105"/>
        <v>542</v>
      </c>
      <c r="L817" s="195"/>
    </row>
    <row r="818" spans="1:12" customFormat="1" outlineLevel="1" x14ac:dyDescent="0.2">
      <c r="A818" s="25" t="s">
        <v>3165</v>
      </c>
      <c r="B818" s="70" t="s">
        <v>3170</v>
      </c>
      <c r="C818" s="232"/>
      <c r="D818" s="118"/>
      <c r="E818" s="118"/>
      <c r="F818" s="118"/>
      <c r="G818" s="123"/>
      <c r="H818" s="304">
        <f t="shared" si="104"/>
        <v>0</v>
      </c>
      <c r="I818" s="304">
        <f t="shared" si="105"/>
        <v>0</v>
      </c>
      <c r="L818" s="195"/>
    </row>
    <row r="819" spans="1:12" customFormat="1" outlineLevel="2" x14ac:dyDescent="0.2">
      <c r="A819" s="338" t="s">
        <v>3166</v>
      </c>
      <c r="B819" s="70" t="s">
        <v>3171</v>
      </c>
      <c r="C819" s="232" t="s">
        <v>487</v>
      </c>
      <c r="D819" s="118">
        <f t="shared" si="101"/>
        <v>343.33333333333331</v>
      </c>
      <c r="E819" s="118">
        <f t="shared" si="102"/>
        <v>68.666666666666671</v>
      </c>
      <c r="F819" s="118">
        <f t="shared" si="103"/>
        <v>412</v>
      </c>
      <c r="G819" s="123">
        <v>380</v>
      </c>
      <c r="H819" s="304">
        <f t="shared" si="104"/>
        <v>411.92</v>
      </c>
      <c r="I819" s="304">
        <f t="shared" si="105"/>
        <v>412</v>
      </c>
      <c r="L819" s="195"/>
    </row>
    <row r="820" spans="1:12" customFormat="1" outlineLevel="2" x14ac:dyDescent="0.2">
      <c r="A820" s="338" t="s">
        <v>3167</v>
      </c>
      <c r="B820" s="70" t="s">
        <v>3106</v>
      </c>
      <c r="C820" s="232" t="s">
        <v>487</v>
      </c>
      <c r="D820" s="118">
        <f t="shared" si="101"/>
        <v>361.66666666666663</v>
      </c>
      <c r="E820" s="118">
        <f t="shared" si="102"/>
        <v>72.333333333333343</v>
      </c>
      <c r="F820" s="118">
        <f t="shared" si="103"/>
        <v>434</v>
      </c>
      <c r="G820" s="123">
        <v>400</v>
      </c>
      <c r="H820" s="304">
        <f t="shared" si="104"/>
        <v>433.6</v>
      </c>
      <c r="I820" s="304">
        <f t="shared" si="105"/>
        <v>434</v>
      </c>
      <c r="L820" s="195"/>
    </row>
    <row r="821" spans="1:12" customFormat="1" outlineLevel="2" x14ac:dyDescent="0.2">
      <c r="A821" s="338" t="s">
        <v>3168</v>
      </c>
      <c r="B821" s="70" t="s">
        <v>3155</v>
      </c>
      <c r="C821" s="232" t="s">
        <v>487</v>
      </c>
      <c r="D821" s="118">
        <f t="shared" si="101"/>
        <v>483.33333333333331</v>
      </c>
      <c r="E821" s="118">
        <f t="shared" si="102"/>
        <v>96.666666666666686</v>
      </c>
      <c r="F821" s="118">
        <f t="shared" si="103"/>
        <v>580</v>
      </c>
      <c r="G821" s="123">
        <v>535</v>
      </c>
      <c r="H821" s="304">
        <f t="shared" si="104"/>
        <v>579.94000000000005</v>
      </c>
      <c r="I821" s="304">
        <f t="shared" si="105"/>
        <v>580</v>
      </c>
      <c r="L821" s="195"/>
    </row>
    <row r="822" spans="1:12" customFormat="1" outlineLevel="2" x14ac:dyDescent="0.2">
      <c r="A822" s="338" t="s">
        <v>3169</v>
      </c>
      <c r="B822" s="70" t="s">
        <v>3172</v>
      </c>
      <c r="C822" s="232" t="s">
        <v>487</v>
      </c>
      <c r="D822" s="118">
        <f t="shared" si="101"/>
        <v>4290.833333333333</v>
      </c>
      <c r="E822" s="118">
        <f t="shared" si="102"/>
        <v>858.16666666666686</v>
      </c>
      <c r="F822" s="118">
        <f t="shared" si="103"/>
        <v>5149</v>
      </c>
      <c r="G822" s="123">
        <v>4750</v>
      </c>
      <c r="H822" s="304">
        <f t="shared" si="104"/>
        <v>5149</v>
      </c>
      <c r="I822" s="304">
        <f t="shared" si="105"/>
        <v>5149</v>
      </c>
      <c r="L822" s="195"/>
    </row>
    <row r="823" spans="1:12" customFormat="1" outlineLevel="1" x14ac:dyDescent="0.2">
      <c r="A823" s="25" t="s">
        <v>3251</v>
      </c>
      <c r="B823" s="145" t="s">
        <v>3252</v>
      </c>
      <c r="C823" s="275" t="s">
        <v>487</v>
      </c>
      <c r="D823" s="118">
        <f t="shared" si="101"/>
        <v>193.33333333333331</v>
      </c>
      <c r="E823" s="118">
        <f t="shared" si="102"/>
        <v>38.666666666666671</v>
      </c>
      <c r="F823" s="118">
        <f t="shared" si="103"/>
        <v>232</v>
      </c>
      <c r="G823" s="123">
        <v>214</v>
      </c>
      <c r="H823" s="304">
        <f t="shared" si="104"/>
        <v>231.97600000000003</v>
      </c>
      <c r="I823" s="304">
        <f t="shared" si="105"/>
        <v>232</v>
      </c>
      <c r="J823" t="s">
        <v>3194</v>
      </c>
      <c r="L823" s="195"/>
    </row>
    <row r="824" spans="1:12" customFormat="1" ht="18.75" x14ac:dyDescent="0.2">
      <c r="A824" s="423" t="s">
        <v>1385</v>
      </c>
      <c r="B824" s="424"/>
      <c r="C824" s="424"/>
      <c r="D824" s="424"/>
      <c r="E824" s="424"/>
      <c r="F824" s="424"/>
      <c r="G824" s="425"/>
      <c r="H824" s="316"/>
      <c r="I824" s="316"/>
      <c r="L824" s="195"/>
    </row>
    <row r="825" spans="1:12" customFormat="1" outlineLevel="1" x14ac:dyDescent="0.2">
      <c r="A825" s="25" t="s">
        <v>235</v>
      </c>
      <c r="B825" s="70" t="s">
        <v>901</v>
      </c>
      <c r="C825" s="107"/>
      <c r="D825" s="118"/>
      <c r="E825" s="118"/>
      <c r="F825" s="118"/>
      <c r="G825" s="123"/>
      <c r="H825" s="304">
        <f t="shared" ref="H825:H854" si="106">G825*$H$8</f>
        <v>0</v>
      </c>
      <c r="I825" s="304">
        <f t="shared" ref="I825:I854" si="107">ROUND(H825,0)</f>
        <v>0</v>
      </c>
      <c r="L825" s="195"/>
    </row>
    <row r="826" spans="1:12" customFormat="1" outlineLevel="2" x14ac:dyDescent="0.2">
      <c r="A826" s="338" t="s">
        <v>2621</v>
      </c>
      <c r="B826" s="70" t="s">
        <v>903</v>
      </c>
      <c r="C826" s="213" t="s">
        <v>902</v>
      </c>
      <c r="D826" s="118">
        <f t="shared" ref="D826:D856" si="108">F826-E826</f>
        <v>282.5</v>
      </c>
      <c r="E826" s="118">
        <f t="shared" ref="E826:E856" si="109">F826/1.2*0.2</f>
        <v>56.5</v>
      </c>
      <c r="F826" s="118">
        <f t="shared" ref="F826:F854" si="110">I826</f>
        <v>339</v>
      </c>
      <c r="G826" s="123">
        <v>313</v>
      </c>
      <c r="H826" s="304">
        <f t="shared" si="106"/>
        <v>339.29200000000003</v>
      </c>
      <c r="I826" s="304">
        <f t="shared" si="107"/>
        <v>339</v>
      </c>
      <c r="L826" s="195"/>
    </row>
    <row r="827" spans="1:12" customFormat="1" outlineLevel="2" x14ac:dyDescent="0.2">
      <c r="A827" s="338" t="s">
        <v>2622</v>
      </c>
      <c r="B827" s="70" t="s">
        <v>904</v>
      </c>
      <c r="C827" s="213" t="s">
        <v>902</v>
      </c>
      <c r="D827" s="118">
        <f t="shared" si="108"/>
        <v>423.33333333333331</v>
      </c>
      <c r="E827" s="118">
        <f t="shared" si="109"/>
        <v>84.666666666666686</v>
      </c>
      <c r="F827" s="118">
        <f t="shared" si="110"/>
        <v>508</v>
      </c>
      <c r="G827" s="123">
        <v>469</v>
      </c>
      <c r="H827" s="304">
        <f t="shared" si="106"/>
        <v>508.39600000000002</v>
      </c>
      <c r="I827" s="304">
        <f t="shared" si="107"/>
        <v>508</v>
      </c>
      <c r="L827" s="195"/>
    </row>
    <row r="828" spans="1:12" customFormat="1" outlineLevel="2" x14ac:dyDescent="0.2">
      <c r="A828" s="338" t="s">
        <v>2623</v>
      </c>
      <c r="B828" s="70" t="s">
        <v>905</v>
      </c>
      <c r="C828" s="213" t="s">
        <v>902</v>
      </c>
      <c r="D828" s="118">
        <f t="shared" si="108"/>
        <v>339.16666666666663</v>
      </c>
      <c r="E828" s="118">
        <f t="shared" si="109"/>
        <v>67.833333333333343</v>
      </c>
      <c r="F828" s="118">
        <f t="shared" si="110"/>
        <v>407</v>
      </c>
      <c r="G828" s="123">
        <v>375</v>
      </c>
      <c r="H828" s="304">
        <f t="shared" si="106"/>
        <v>406.5</v>
      </c>
      <c r="I828" s="304">
        <f t="shared" si="107"/>
        <v>407</v>
      </c>
      <c r="L828" s="195"/>
    </row>
    <row r="829" spans="1:12" customFormat="1" outlineLevel="2" x14ac:dyDescent="0.2">
      <c r="A829" s="338" t="s">
        <v>2624</v>
      </c>
      <c r="B829" s="70" t="s">
        <v>906</v>
      </c>
      <c r="C829" s="213" t="s">
        <v>902</v>
      </c>
      <c r="D829" s="118">
        <f t="shared" si="108"/>
        <v>282.5</v>
      </c>
      <c r="E829" s="118">
        <f t="shared" si="109"/>
        <v>56.5</v>
      </c>
      <c r="F829" s="118">
        <f t="shared" si="110"/>
        <v>339</v>
      </c>
      <c r="G829" s="123">
        <v>313</v>
      </c>
      <c r="H829" s="304">
        <f t="shared" si="106"/>
        <v>339.29200000000003</v>
      </c>
      <c r="I829" s="304">
        <f t="shared" si="107"/>
        <v>339</v>
      </c>
      <c r="L829" s="195"/>
    </row>
    <row r="830" spans="1:12" customFormat="1" ht="31.5" outlineLevel="1" x14ac:dyDescent="0.2">
      <c r="A830" s="25" t="s">
        <v>39</v>
      </c>
      <c r="B830" s="70" t="s">
        <v>907</v>
      </c>
      <c r="C830" s="107" t="s">
        <v>902</v>
      </c>
      <c r="D830" s="118">
        <f t="shared" si="108"/>
        <v>1130</v>
      </c>
      <c r="E830" s="118">
        <f t="shared" si="109"/>
        <v>226</v>
      </c>
      <c r="F830" s="118">
        <f t="shared" si="110"/>
        <v>1356</v>
      </c>
      <c r="G830" s="123">
        <v>1251</v>
      </c>
      <c r="H830" s="304">
        <f t="shared" si="106"/>
        <v>1356.0840000000001</v>
      </c>
      <c r="I830" s="304">
        <f t="shared" si="107"/>
        <v>1356</v>
      </c>
      <c r="L830" s="195"/>
    </row>
    <row r="831" spans="1:12" customFormat="1" ht="47.25" outlineLevel="1" x14ac:dyDescent="0.2">
      <c r="A831" s="25" t="s">
        <v>41</v>
      </c>
      <c r="B831" s="70" t="s">
        <v>1463</v>
      </c>
      <c r="C831" s="107"/>
      <c r="D831" s="118"/>
      <c r="E831" s="118"/>
      <c r="F831" s="118"/>
      <c r="G831" s="123"/>
      <c r="H831" s="304">
        <f t="shared" si="106"/>
        <v>0</v>
      </c>
      <c r="I831" s="304">
        <f t="shared" si="107"/>
        <v>0</v>
      </c>
      <c r="L831" s="195"/>
    </row>
    <row r="832" spans="1:12" customFormat="1" outlineLevel="2" x14ac:dyDescent="0.2">
      <c r="A832" s="338" t="s">
        <v>2625</v>
      </c>
      <c r="B832" s="70" t="s">
        <v>1585</v>
      </c>
      <c r="C832" s="213" t="s">
        <v>908</v>
      </c>
      <c r="D832" s="118">
        <f t="shared" si="108"/>
        <v>19.166666666666664</v>
      </c>
      <c r="E832" s="118">
        <f t="shared" si="109"/>
        <v>3.8333333333333339</v>
      </c>
      <c r="F832" s="118">
        <f t="shared" si="110"/>
        <v>23</v>
      </c>
      <c r="G832" s="123">
        <v>21</v>
      </c>
      <c r="H832" s="304">
        <f t="shared" si="106"/>
        <v>22.764000000000003</v>
      </c>
      <c r="I832" s="304">
        <f t="shared" si="107"/>
        <v>23</v>
      </c>
      <c r="L832" s="195"/>
    </row>
    <row r="833" spans="1:12" customFormat="1" outlineLevel="2" x14ac:dyDescent="0.2">
      <c r="A833" s="338" t="s">
        <v>2626</v>
      </c>
      <c r="B833" s="70" t="s">
        <v>1586</v>
      </c>
      <c r="C833" s="213" t="s">
        <v>908</v>
      </c>
      <c r="D833" s="118">
        <f t="shared" si="108"/>
        <v>14.166666666666666</v>
      </c>
      <c r="E833" s="118">
        <f t="shared" si="109"/>
        <v>2.8333333333333339</v>
      </c>
      <c r="F833" s="118">
        <f t="shared" si="110"/>
        <v>17</v>
      </c>
      <c r="G833" s="123">
        <v>16</v>
      </c>
      <c r="H833" s="304">
        <f t="shared" si="106"/>
        <v>17.344000000000001</v>
      </c>
      <c r="I833" s="304">
        <f t="shared" si="107"/>
        <v>17</v>
      </c>
      <c r="L833" s="195"/>
    </row>
    <row r="834" spans="1:12" customFormat="1" outlineLevel="2" x14ac:dyDescent="0.2">
      <c r="A834" s="338" t="s">
        <v>2627</v>
      </c>
      <c r="B834" s="70" t="s">
        <v>822</v>
      </c>
      <c r="C834" s="213" t="s">
        <v>908</v>
      </c>
      <c r="D834" s="118">
        <f t="shared" si="108"/>
        <v>4.1666666666666661</v>
      </c>
      <c r="E834" s="118">
        <f t="shared" si="109"/>
        <v>0.83333333333333348</v>
      </c>
      <c r="F834" s="118">
        <f t="shared" si="110"/>
        <v>5</v>
      </c>
      <c r="G834" s="123">
        <v>5</v>
      </c>
      <c r="H834" s="304">
        <f t="shared" si="106"/>
        <v>5.42</v>
      </c>
      <c r="I834" s="304">
        <f t="shared" si="107"/>
        <v>5</v>
      </c>
      <c r="L834" s="195"/>
    </row>
    <row r="835" spans="1:12" customFormat="1" outlineLevel="2" x14ac:dyDescent="0.2">
      <c r="A835" s="338" t="s">
        <v>2628</v>
      </c>
      <c r="B835" s="70" t="s">
        <v>1587</v>
      </c>
      <c r="C835" s="213" t="s">
        <v>908</v>
      </c>
      <c r="D835" s="118">
        <f t="shared" si="108"/>
        <v>25</v>
      </c>
      <c r="E835" s="118">
        <f t="shared" si="109"/>
        <v>5</v>
      </c>
      <c r="F835" s="118">
        <f t="shared" si="110"/>
        <v>30</v>
      </c>
      <c r="G835" s="123">
        <v>28</v>
      </c>
      <c r="H835" s="304">
        <f t="shared" si="106"/>
        <v>30.352000000000004</v>
      </c>
      <c r="I835" s="304">
        <f t="shared" si="107"/>
        <v>30</v>
      </c>
      <c r="L835" s="195"/>
    </row>
    <row r="836" spans="1:12" customFormat="1" outlineLevel="2" x14ac:dyDescent="0.2">
      <c r="A836" s="338" t="s">
        <v>2629</v>
      </c>
      <c r="B836" s="70" t="s">
        <v>1588</v>
      </c>
      <c r="C836" s="213" t="s">
        <v>908</v>
      </c>
      <c r="D836" s="118">
        <f t="shared" si="108"/>
        <v>1.6666666666666665</v>
      </c>
      <c r="E836" s="118">
        <f t="shared" si="109"/>
        <v>0.33333333333333337</v>
      </c>
      <c r="F836" s="118">
        <f t="shared" si="110"/>
        <v>2</v>
      </c>
      <c r="G836" s="123">
        <v>2</v>
      </c>
      <c r="H836" s="304">
        <f t="shared" si="106"/>
        <v>2.1680000000000001</v>
      </c>
      <c r="I836" s="304">
        <f t="shared" si="107"/>
        <v>2</v>
      </c>
      <c r="L836" s="195"/>
    </row>
    <row r="837" spans="1:12" customFormat="1" outlineLevel="1" x14ac:dyDescent="0.2">
      <c r="A837" s="25" t="s">
        <v>236</v>
      </c>
      <c r="B837" s="70" t="s">
        <v>1462</v>
      </c>
      <c r="C837" s="107"/>
      <c r="D837" s="118"/>
      <c r="E837" s="118"/>
      <c r="F837" s="118"/>
      <c r="G837" s="123"/>
      <c r="H837" s="304">
        <f t="shared" si="106"/>
        <v>0</v>
      </c>
      <c r="I837" s="304">
        <f t="shared" si="107"/>
        <v>0</v>
      </c>
      <c r="L837" s="195"/>
    </row>
    <row r="838" spans="1:12" customFormat="1" outlineLevel="2" x14ac:dyDescent="0.2">
      <c r="A838" s="338" t="s">
        <v>2630</v>
      </c>
      <c r="B838" s="70" t="s">
        <v>917</v>
      </c>
      <c r="C838" s="213" t="s">
        <v>6</v>
      </c>
      <c r="D838" s="118">
        <f t="shared" si="108"/>
        <v>100.83333333333333</v>
      </c>
      <c r="E838" s="118">
        <f t="shared" si="109"/>
        <v>20.166666666666671</v>
      </c>
      <c r="F838" s="118">
        <f t="shared" si="110"/>
        <v>121</v>
      </c>
      <c r="G838" s="123">
        <v>112</v>
      </c>
      <c r="H838" s="304">
        <f t="shared" si="106"/>
        <v>121.40800000000002</v>
      </c>
      <c r="I838" s="304">
        <f t="shared" si="107"/>
        <v>121</v>
      </c>
      <c r="L838" s="195"/>
    </row>
    <row r="839" spans="1:12" customFormat="1" outlineLevel="2" x14ac:dyDescent="0.2">
      <c r="A839" s="338" t="s">
        <v>2631</v>
      </c>
      <c r="B839" s="70" t="s">
        <v>918</v>
      </c>
      <c r="C839" s="213" t="s">
        <v>6</v>
      </c>
      <c r="D839" s="118">
        <f t="shared" si="108"/>
        <v>169.16666666666666</v>
      </c>
      <c r="E839" s="118">
        <f t="shared" si="109"/>
        <v>33.833333333333336</v>
      </c>
      <c r="F839" s="118">
        <f t="shared" si="110"/>
        <v>203</v>
      </c>
      <c r="G839" s="123">
        <v>187</v>
      </c>
      <c r="H839" s="304">
        <f t="shared" si="106"/>
        <v>202.70800000000003</v>
      </c>
      <c r="I839" s="304">
        <f t="shared" si="107"/>
        <v>203</v>
      </c>
      <c r="L839" s="195"/>
    </row>
    <row r="840" spans="1:12" customFormat="1" outlineLevel="2" x14ac:dyDescent="0.2">
      <c r="A840" s="338" t="s">
        <v>2632</v>
      </c>
      <c r="B840" s="70" t="s">
        <v>919</v>
      </c>
      <c r="C840" s="213" t="s">
        <v>6</v>
      </c>
      <c r="D840" s="118">
        <f t="shared" si="108"/>
        <v>127.5</v>
      </c>
      <c r="E840" s="118">
        <f t="shared" si="109"/>
        <v>25.5</v>
      </c>
      <c r="F840" s="118">
        <f t="shared" si="110"/>
        <v>153</v>
      </c>
      <c r="G840" s="123">
        <v>141</v>
      </c>
      <c r="H840" s="304">
        <f t="shared" si="106"/>
        <v>152.84400000000002</v>
      </c>
      <c r="I840" s="304">
        <f t="shared" si="107"/>
        <v>153</v>
      </c>
      <c r="L840" s="195"/>
    </row>
    <row r="841" spans="1:12" customFormat="1" outlineLevel="2" x14ac:dyDescent="0.2">
      <c r="A841" s="338" t="s">
        <v>2633</v>
      </c>
      <c r="B841" s="70" t="s">
        <v>920</v>
      </c>
      <c r="C841" s="213" t="s">
        <v>6</v>
      </c>
      <c r="D841" s="118">
        <f t="shared" si="108"/>
        <v>162.5</v>
      </c>
      <c r="E841" s="118">
        <f t="shared" si="109"/>
        <v>32.5</v>
      </c>
      <c r="F841" s="118">
        <f t="shared" si="110"/>
        <v>195</v>
      </c>
      <c r="G841" s="123">
        <v>180</v>
      </c>
      <c r="H841" s="304">
        <f t="shared" si="106"/>
        <v>195.12</v>
      </c>
      <c r="I841" s="304">
        <f t="shared" si="107"/>
        <v>195</v>
      </c>
      <c r="L841" s="195"/>
    </row>
    <row r="842" spans="1:12" customFormat="1" outlineLevel="2" x14ac:dyDescent="0.2">
      <c r="A842" s="338" t="s">
        <v>2634</v>
      </c>
      <c r="B842" s="70" t="s">
        <v>921</v>
      </c>
      <c r="C842" s="213" t="s">
        <v>6</v>
      </c>
      <c r="D842" s="118">
        <f t="shared" si="108"/>
        <v>232.5</v>
      </c>
      <c r="E842" s="118">
        <f t="shared" si="109"/>
        <v>46.5</v>
      </c>
      <c r="F842" s="118">
        <f t="shared" si="110"/>
        <v>279</v>
      </c>
      <c r="G842" s="123">
        <v>257</v>
      </c>
      <c r="H842" s="304">
        <f t="shared" si="106"/>
        <v>278.58800000000002</v>
      </c>
      <c r="I842" s="304">
        <f t="shared" si="107"/>
        <v>279</v>
      </c>
      <c r="L842" s="195"/>
    </row>
    <row r="843" spans="1:12" customFormat="1" outlineLevel="2" x14ac:dyDescent="0.2">
      <c r="A843" s="338" t="s">
        <v>2635</v>
      </c>
      <c r="B843" s="70" t="s">
        <v>922</v>
      </c>
      <c r="C843" s="213" t="s">
        <v>6</v>
      </c>
      <c r="D843" s="118">
        <f t="shared" si="108"/>
        <v>182.5</v>
      </c>
      <c r="E843" s="118">
        <f t="shared" si="109"/>
        <v>36.5</v>
      </c>
      <c r="F843" s="118">
        <f t="shared" si="110"/>
        <v>219</v>
      </c>
      <c r="G843" s="123">
        <v>202</v>
      </c>
      <c r="H843" s="304">
        <f t="shared" si="106"/>
        <v>218.96800000000002</v>
      </c>
      <c r="I843" s="304">
        <f t="shared" si="107"/>
        <v>219</v>
      </c>
      <c r="L843" s="195"/>
    </row>
    <row r="844" spans="1:12" customFormat="1" outlineLevel="2" x14ac:dyDescent="0.2">
      <c r="A844" s="338" t="s">
        <v>2636</v>
      </c>
      <c r="B844" s="70" t="s">
        <v>923</v>
      </c>
      <c r="C844" s="213" t="s">
        <v>6</v>
      </c>
      <c r="D844" s="118">
        <f t="shared" si="108"/>
        <v>248.33333333333331</v>
      </c>
      <c r="E844" s="118">
        <f t="shared" si="109"/>
        <v>49.666666666666671</v>
      </c>
      <c r="F844" s="118">
        <f t="shared" si="110"/>
        <v>298</v>
      </c>
      <c r="G844" s="123">
        <v>275</v>
      </c>
      <c r="H844" s="304">
        <f t="shared" si="106"/>
        <v>298.10000000000002</v>
      </c>
      <c r="I844" s="304">
        <f t="shared" si="107"/>
        <v>298</v>
      </c>
      <c r="L844" s="195"/>
    </row>
    <row r="845" spans="1:12" customFormat="1" ht="31.5" outlineLevel="1" x14ac:dyDescent="0.2">
      <c r="A845" s="25" t="s">
        <v>44</v>
      </c>
      <c r="B845" s="70" t="s">
        <v>924</v>
      </c>
      <c r="C845" s="107" t="s">
        <v>925</v>
      </c>
      <c r="D845" s="118">
        <f t="shared" si="108"/>
        <v>113.33333333333333</v>
      </c>
      <c r="E845" s="118">
        <f t="shared" si="109"/>
        <v>22.666666666666671</v>
      </c>
      <c r="F845" s="118">
        <f t="shared" si="110"/>
        <v>136</v>
      </c>
      <c r="G845" s="123">
        <v>125</v>
      </c>
      <c r="H845" s="304">
        <f t="shared" si="106"/>
        <v>135.5</v>
      </c>
      <c r="I845" s="304">
        <f t="shared" si="107"/>
        <v>136</v>
      </c>
      <c r="L845" s="195"/>
    </row>
    <row r="846" spans="1:12" customFormat="1" ht="31.5" outlineLevel="1" x14ac:dyDescent="0.2">
      <c r="A846" s="25" t="s">
        <v>46</v>
      </c>
      <c r="B846" s="70" t="s">
        <v>924</v>
      </c>
      <c r="C846" s="107" t="s">
        <v>926</v>
      </c>
      <c r="D846" s="118">
        <f t="shared" si="108"/>
        <v>140.83333333333331</v>
      </c>
      <c r="E846" s="118">
        <f t="shared" si="109"/>
        <v>28.166666666666671</v>
      </c>
      <c r="F846" s="118">
        <f t="shared" si="110"/>
        <v>169</v>
      </c>
      <c r="G846" s="123">
        <v>156</v>
      </c>
      <c r="H846" s="304">
        <f t="shared" si="106"/>
        <v>169.10400000000001</v>
      </c>
      <c r="I846" s="304">
        <f t="shared" si="107"/>
        <v>169</v>
      </c>
      <c r="L846" s="195"/>
    </row>
    <row r="847" spans="1:12" customFormat="1" ht="31.5" outlineLevel="1" x14ac:dyDescent="0.2">
      <c r="A847" s="25" t="s">
        <v>264</v>
      </c>
      <c r="B847" s="70" t="s">
        <v>924</v>
      </c>
      <c r="C847" s="107" t="s">
        <v>927</v>
      </c>
      <c r="D847" s="118">
        <f t="shared" si="108"/>
        <v>169.16666666666666</v>
      </c>
      <c r="E847" s="118">
        <f t="shared" si="109"/>
        <v>33.833333333333336</v>
      </c>
      <c r="F847" s="118">
        <f t="shared" si="110"/>
        <v>203</v>
      </c>
      <c r="G847" s="123">
        <v>187</v>
      </c>
      <c r="H847" s="304">
        <f t="shared" si="106"/>
        <v>202.70800000000003</v>
      </c>
      <c r="I847" s="304">
        <f t="shared" si="107"/>
        <v>203</v>
      </c>
      <c r="L847" s="195"/>
    </row>
    <row r="848" spans="1:12" customFormat="1" ht="31.5" outlineLevel="1" x14ac:dyDescent="0.2">
      <c r="A848" s="25" t="s">
        <v>309</v>
      </c>
      <c r="B848" s="70" t="s">
        <v>928</v>
      </c>
      <c r="C848" s="107" t="s">
        <v>925</v>
      </c>
      <c r="D848" s="118">
        <f t="shared" si="108"/>
        <v>140.83333333333331</v>
      </c>
      <c r="E848" s="118">
        <f t="shared" si="109"/>
        <v>28.166666666666671</v>
      </c>
      <c r="F848" s="118">
        <f t="shared" si="110"/>
        <v>169</v>
      </c>
      <c r="G848" s="123">
        <v>156</v>
      </c>
      <c r="H848" s="304">
        <f t="shared" si="106"/>
        <v>169.10400000000001</v>
      </c>
      <c r="I848" s="304">
        <f t="shared" si="107"/>
        <v>169</v>
      </c>
      <c r="L848" s="195"/>
    </row>
    <row r="849" spans="1:12" customFormat="1" ht="31.5" outlineLevel="1" x14ac:dyDescent="0.2">
      <c r="A849" s="25" t="s">
        <v>310</v>
      </c>
      <c r="B849" s="70" t="s">
        <v>928</v>
      </c>
      <c r="C849" s="107" t="s">
        <v>926</v>
      </c>
      <c r="D849" s="118">
        <f t="shared" si="108"/>
        <v>423.33333333333331</v>
      </c>
      <c r="E849" s="118">
        <f t="shared" si="109"/>
        <v>84.666666666666686</v>
      </c>
      <c r="F849" s="118">
        <f t="shared" si="110"/>
        <v>508</v>
      </c>
      <c r="G849" s="123">
        <v>469</v>
      </c>
      <c r="H849" s="304">
        <f t="shared" si="106"/>
        <v>508.39600000000002</v>
      </c>
      <c r="I849" s="304">
        <f t="shared" si="107"/>
        <v>508</v>
      </c>
      <c r="L849" s="195"/>
    </row>
    <row r="850" spans="1:12" customFormat="1" ht="31.5" outlineLevel="1" x14ac:dyDescent="0.2">
      <c r="A850" s="25" t="s">
        <v>311</v>
      </c>
      <c r="B850" s="70" t="s">
        <v>928</v>
      </c>
      <c r="C850" s="107" t="s">
        <v>927</v>
      </c>
      <c r="D850" s="118">
        <f t="shared" si="108"/>
        <v>592.5</v>
      </c>
      <c r="E850" s="118">
        <f t="shared" si="109"/>
        <v>118.5</v>
      </c>
      <c r="F850" s="118">
        <f t="shared" si="110"/>
        <v>711</v>
      </c>
      <c r="G850" s="123">
        <v>656</v>
      </c>
      <c r="H850" s="304">
        <f t="shared" si="106"/>
        <v>711.10400000000004</v>
      </c>
      <c r="I850" s="304">
        <f t="shared" si="107"/>
        <v>711</v>
      </c>
      <c r="L850" s="195"/>
    </row>
    <row r="851" spans="1:12" customFormat="1" ht="47.25" customHeight="1" outlineLevel="1" x14ac:dyDescent="0.2">
      <c r="A851" s="25" t="s">
        <v>312</v>
      </c>
      <c r="B851" s="70" t="s">
        <v>3569</v>
      </c>
      <c r="C851" s="107" t="s">
        <v>6</v>
      </c>
      <c r="D851" s="118">
        <f t="shared" si="108"/>
        <v>208.33333333333331</v>
      </c>
      <c r="E851" s="118">
        <f t="shared" si="109"/>
        <v>41.666666666666671</v>
      </c>
      <c r="F851" s="118">
        <v>250</v>
      </c>
      <c r="G851" s="123">
        <v>289</v>
      </c>
      <c r="H851" s="304">
        <f t="shared" si="106"/>
        <v>313.27600000000001</v>
      </c>
      <c r="I851" s="304">
        <f t="shared" si="107"/>
        <v>313</v>
      </c>
      <c r="L851" s="195"/>
    </row>
    <row r="852" spans="1:12" customFormat="1" ht="31.5" outlineLevel="1" x14ac:dyDescent="0.2">
      <c r="A852" s="25" t="s">
        <v>313</v>
      </c>
      <c r="B852" s="70" t="s">
        <v>930</v>
      </c>
      <c r="C852" s="107" t="s">
        <v>606</v>
      </c>
      <c r="D852" s="118">
        <f t="shared" si="108"/>
        <v>387.5</v>
      </c>
      <c r="E852" s="118">
        <f t="shared" si="109"/>
        <v>77.5</v>
      </c>
      <c r="F852" s="118">
        <f t="shared" si="110"/>
        <v>465</v>
      </c>
      <c r="G852" s="123">
        <v>429</v>
      </c>
      <c r="H852" s="304">
        <f t="shared" si="106"/>
        <v>465.03600000000006</v>
      </c>
      <c r="I852" s="304">
        <f t="shared" si="107"/>
        <v>465</v>
      </c>
      <c r="L852" s="195"/>
    </row>
    <row r="853" spans="1:12" customFormat="1" ht="31.5" outlineLevel="1" x14ac:dyDescent="0.2">
      <c r="A853" s="25" t="s">
        <v>314</v>
      </c>
      <c r="B853" s="70" t="s">
        <v>931</v>
      </c>
      <c r="C853" s="107" t="s">
        <v>606</v>
      </c>
      <c r="D853" s="118">
        <f t="shared" si="108"/>
        <v>523.33333333333326</v>
      </c>
      <c r="E853" s="118">
        <f t="shared" si="109"/>
        <v>104.66666666666669</v>
      </c>
      <c r="F853" s="118">
        <f t="shared" si="110"/>
        <v>628</v>
      </c>
      <c r="G853" s="123">
        <v>579</v>
      </c>
      <c r="H853" s="304">
        <f t="shared" si="106"/>
        <v>627.63600000000008</v>
      </c>
      <c r="I853" s="304">
        <f t="shared" si="107"/>
        <v>628</v>
      </c>
      <c r="L853" s="195"/>
    </row>
    <row r="854" spans="1:12" customFormat="1" outlineLevel="1" x14ac:dyDescent="0.2">
      <c r="A854" s="25" t="s">
        <v>315</v>
      </c>
      <c r="B854" s="145" t="s">
        <v>1663</v>
      </c>
      <c r="C854" s="339" t="s">
        <v>549</v>
      </c>
      <c r="D854" s="131">
        <f t="shared" si="108"/>
        <v>113.33333333333333</v>
      </c>
      <c r="E854" s="131">
        <f t="shared" si="109"/>
        <v>22.666666666666671</v>
      </c>
      <c r="F854" s="131">
        <f t="shared" si="110"/>
        <v>136</v>
      </c>
      <c r="G854" s="118">
        <v>125</v>
      </c>
      <c r="H854" s="304">
        <f t="shared" si="106"/>
        <v>135.5</v>
      </c>
      <c r="I854" s="304">
        <f t="shared" si="107"/>
        <v>136</v>
      </c>
      <c r="L854" s="195"/>
    </row>
    <row r="855" spans="1:12" customFormat="1" outlineLevel="1" x14ac:dyDescent="0.2">
      <c r="A855" s="270" t="s">
        <v>316</v>
      </c>
      <c r="B855" s="145" t="s">
        <v>3558</v>
      </c>
      <c r="C855" s="251" t="s">
        <v>6</v>
      </c>
      <c r="D855" s="131">
        <f t="shared" si="108"/>
        <v>266.66666666666663</v>
      </c>
      <c r="E855" s="131">
        <f t="shared" si="109"/>
        <v>53.333333333333343</v>
      </c>
      <c r="F855" s="131">
        <v>320</v>
      </c>
      <c r="G855" s="130"/>
      <c r="H855" s="304"/>
      <c r="I855" s="304"/>
      <c r="L855" s="195"/>
    </row>
    <row r="856" spans="1:12" customFormat="1" outlineLevel="1" x14ac:dyDescent="0.2">
      <c r="A856" s="108" t="s">
        <v>1600</v>
      </c>
      <c r="B856" s="244" t="s">
        <v>3559</v>
      </c>
      <c r="C856" s="363" t="s">
        <v>6</v>
      </c>
      <c r="D856" s="131">
        <f t="shared" si="108"/>
        <v>283.33333333333331</v>
      </c>
      <c r="E856" s="131">
        <f t="shared" si="109"/>
        <v>56.666666666666679</v>
      </c>
      <c r="F856" s="131">
        <v>340</v>
      </c>
      <c r="G856" s="130"/>
      <c r="H856" s="304"/>
      <c r="I856" s="304"/>
      <c r="L856" s="195"/>
    </row>
    <row r="857" spans="1:12" customFormat="1" outlineLevel="1" x14ac:dyDescent="0.2">
      <c r="A857" s="270" t="s">
        <v>1609</v>
      </c>
      <c r="B857" s="145" t="s">
        <v>3570</v>
      </c>
      <c r="C857" s="251" t="s">
        <v>50</v>
      </c>
      <c r="D857" s="118">
        <v>159.16999999999999</v>
      </c>
      <c r="E857" s="118">
        <v>31.83</v>
      </c>
      <c r="F857" s="118">
        <v>191</v>
      </c>
      <c r="G857" s="130"/>
      <c r="H857" s="304"/>
      <c r="I857" s="304"/>
      <c r="L857" s="195"/>
    </row>
    <row r="858" spans="1:12" customFormat="1" ht="35.25" customHeight="1" outlineLevel="1" x14ac:dyDescent="0.2">
      <c r="A858" s="108" t="s">
        <v>2033</v>
      </c>
      <c r="B858" s="145" t="s">
        <v>3571</v>
      </c>
      <c r="C858" s="251" t="s">
        <v>418</v>
      </c>
      <c r="D858" s="118">
        <v>212.5</v>
      </c>
      <c r="E858" s="118">
        <v>42.5</v>
      </c>
      <c r="F858" s="118">
        <v>255</v>
      </c>
      <c r="G858" s="130"/>
      <c r="H858" s="304"/>
      <c r="I858" s="304"/>
      <c r="L858" s="195"/>
    </row>
    <row r="859" spans="1:12" customFormat="1" ht="64.5" customHeight="1" outlineLevel="1" x14ac:dyDescent="0.2">
      <c r="A859" s="108" t="s">
        <v>2034</v>
      </c>
      <c r="B859" s="145" t="s">
        <v>3631</v>
      </c>
      <c r="C859" s="251" t="s">
        <v>418</v>
      </c>
      <c r="D859" s="118">
        <v>212.5</v>
      </c>
      <c r="E859" s="118">
        <v>42.5</v>
      </c>
      <c r="F859" s="118">
        <v>340</v>
      </c>
      <c r="G859" s="130"/>
      <c r="H859" s="304"/>
      <c r="I859" s="304"/>
      <c r="L859" s="195"/>
    </row>
    <row r="860" spans="1:12" customFormat="1" ht="18.75" x14ac:dyDescent="0.2">
      <c r="A860" s="423" t="s">
        <v>1386</v>
      </c>
      <c r="B860" s="424"/>
      <c r="C860" s="424"/>
      <c r="D860" s="424"/>
      <c r="E860" s="424"/>
      <c r="F860" s="424"/>
      <c r="G860" s="425"/>
      <c r="H860" s="316"/>
      <c r="I860" s="316"/>
      <c r="L860" s="195"/>
    </row>
    <row r="861" spans="1:12" customFormat="1" outlineLevel="1" x14ac:dyDescent="0.2">
      <c r="A861" s="25" t="s">
        <v>164</v>
      </c>
      <c r="B861" s="70" t="s">
        <v>932</v>
      </c>
      <c r="C861" s="107" t="s">
        <v>6</v>
      </c>
      <c r="D861" s="118">
        <f t="shared" ref="D861:D923" si="111">F861-E861</f>
        <v>113.33333333333333</v>
      </c>
      <c r="E861" s="118">
        <f t="shared" ref="E861:E923" si="112">F861/1.2*0.2</f>
        <v>22.666666666666671</v>
      </c>
      <c r="F861" s="118">
        <f t="shared" ref="F861:F923" si="113">I861</f>
        <v>136</v>
      </c>
      <c r="G861" s="123">
        <v>125</v>
      </c>
      <c r="H861" s="304">
        <f t="shared" ref="H861:H924" si="114">G861*$H$8</f>
        <v>135.5</v>
      </c>
      <c r="I861" s="304">
        <f t="shared" ref="I861:I923" si="115">ROUND(H861,0)</f>
        <v>136</v>
      </c>
      <c r="L861" s="195"/>
    </row>
    <row r="862" spans="1:12" customFormat="1" outlineLevel="1" x14ac:dyDescent="0.2">
      <c r="A862" s="25" t="s">
        <v>283</v>
      </c>
      <c r="B862" s="70" t="s">
        <v>933</v>
      </c>
      <c r="C862" s="107" t="s">
        <v>934</v>
      </c>
      <c r="D862" s="118">
        <f t="shared" si="111"/>
        <v>255</v>
      </c>
      <c r="E862" s="118">
        <f t="shared" si="112"/>
        <v>51</v>
      </c>
      <c r="F862" s="118">
        <f t="shared" si="113"/>
        <v>306</v>
      </c>
      <c r="G862" s="123">
        <v>282</v>
      </c>
      <c r="H862" s="304">
        <f t="shared" si="114"/>
        <v>305.68800000000005</v>
      </c>
      <c r="I862" s="304">
        <f t="shared" si="115"/>
        <v>306</v>
      </c>
      <c r="L862" s="195"/>
    </row>
    <row r="863" spans="1:12" customFormat="1" ht="25.5" outlineLevel="1" x14ac:dyDescent="0.2">
      <c r="A863" s="25" t="s">
        <v>73</v>
      </c>
      <c r="B863" s="70" t="s">
        <v>933</v>
      </c>
      <c r="C863" s="107" t="s">
        <v>972</v>
      </c>
      <c r="D863" s="118">
        <f t="shared" si="111"/>
        <v>508.33333333333331</v>
      </c>
      <c r="E863" s="118">
        <f t="shared" si="112"/>
        <v>101.66666666666669</v>
      </c>
      <c r="F863" s="118">
        <f t="shared" si="113"/>
        <v>610</v>
      </c>
      <c r="G863" s="123">
        <v>563</v>
      </c>
      <c r="H863" s="304">
        <f t="shared" si="114"/>
        <v>610.29200000000003</v>
      </c>
      <c r="I863" s="304">
        <f t="shared" si="115"/>
        <v>610</v>
      </c>
      <c r="L863" s="195"/>
    </row>
    <row r="864" spans="1:12" customFormat="1" ht="25.5" outlineLevel="1" x14ac:dyDescent="0.2">
      <c r="A864" s="25" t="s">
        <v>74</v>
      </c>
      <c r="B864" s="70" t="s">
        <v>933</v>
      </c>
      <c r="C864" s="107" t="s">
        <v>973</v>
      </c>
      <c r="D864" s="118">
        <f t="shared" si="111"/>
        <v>763.33333333333326</v>
      </c>
      <c r="E864" s="118">
        <f t="shared" si="112"/>
        <v>152.66666666666669</v>
      </c>
      <c r="F864" s="118">
        <f t="shared" si="113"/>
        <v>916</v>
      </c>
      <c r="G864" s="123">
        <v>845</v>
      </c>
      <c r="H864" s="304">
        <f t="shared" si="114"/>
        <v>915.98</v>
      </c>
      <c r="I864" s="304">
        <f t="shared" si="115"/>
        <v>916</v>
      </c>
      <c r="L864" s="195"/>
    </row>
    <row r="865" spans="1:12" customFormat="1" ht="47.25" outlineLevel="1" x14ac:dyDescent="0.2">
      <c r="A865" s="25" t="s">
        <v>76</v>
      </c>
      <c r="B865" s="70" t="s">
        <v>935</v>
      </c>
      <c r="C865" s="107"/>
      <c r="D865" s="118"/>
      <c r="E865" s="118"/>
      <c r="F865" s="118"/>
      <c r="G865" s="123"/>
      <c r="H865" s="304">
        <f t="shared" si="114"/>
        <v>0</v>
      </c>
      <c r="I865" s="304">
        <f t="shared" si="115"/>
        <v>0</v>
      </c>
      <c r="L865" s="195"/>
    </row>
    <row r="866" spans="1:12" customFormat="1" outlineLevel="2" x14ac:dyDescent="0.2">
      <c r="A866" s="338" t="s">
        <v>2637</v>
      </c>
      <c r="B866" s="70" t="s">
        <v>937</v>
      </c>
      <c r="C866" s="213" t="s">
        <v>936</v>
      </c>
      <c r="D866" s="118">
        <f t="shared" si="111"/>
        <v>2402.5</v>
      </c>
      <c r="E866" s="118">
        <f t="shared" si="112"/>
        <v>480.5</v>
      </c>
      <c r="F866" s="118">
        <f t="shared" si="113"/>
        <v>2883</v>
      </c>
      <c r="G866" s="123">
        <v>2660</v>
      </c>
      <c r="H866" s="304">
        <f t="shared" si="114"/>
        <v>2883.44</v>
      </c>
      <c r="I866" s="304">
        <f t="shared" si="115"/>
        <v>2883</v>
      </c>
      <c r="L866" s="195"/>
    </row>
    <row r="867" spans="1:12" customFormat="1" outlineLevel="2" x14ac:dyDescent="0.2">
      <c r="A867" s="338" t="s">
        <v>2638</v>
      </c>
      <c r="B867" s="70" t="s">
        <v>938</v>
      </c>
      <c r="C867" s="213" t="s">
        <v>936</v>
      </c>
      <c r="D867" s="118">
        <f t="shared" si="111"/>
        <v>2542.5</v>
      </c>
      <c r="E867" s="118">
        <f t="shared" si="112"/>
        <v>508.5</v>
      </c>
      <c r="F867" s="118">
        <f t="shared" si="113"/>
        <v>3051</v>
      </c>
      <c r="G867" s="123">
        <v>2815</v>
      </c>
      <c r="H867" s="304">
        <f t="shared" si="114"/>
        <v>3051.46</v>
      </c>
      <c r="I867" s="304">
        <f t="shared" si="115"/>
        <v>3051</v>
      </c>
      <c r="L867" s="195"/>
    </row>
    <row r="868" spans="1:12" customFormat="1" outlineLevel="2" x14ac:dyDescent="0.2">
      <c r="A868" s="338" t="s">
        <v>2639</v>
      </c>
      <c r="B868" s="70" t="s">
        <v>939</v>
      </c>
      <c r="C868" s="213" t="s">
        <v>936</v>
      </c>
      <c r="D868" s="118">
        <f t="shared" si="111"/>
        <v>1130</v>
      </c>
      <c r="E868" s="118">
        <f t="shared" si="112"/>
        <v>226</v>
      </c>
      <c r="F868" s="118">
        <f t="shared" si="113"/>
        <v>1356</v>
      </c>
      <c r="G868" s="123">
        <v>1251</v>
      </c>
      <c r="H868" s="304">
        <f t="shared" si="114"/>
        <v>1356.0840000000001</v>
      </c>
      <c r="I868" s="304">
        <f t="shared" si="115"/>
        <v>1356</v>
      </c>
      <c r="L868" s="195"/>
    </row>
    <row r="869" spans="1:12" customFormat="1" outlineLevel="2" x14ac:dyDescent="0.2">
      <c r="A869" s="338" t="s">
        <v>2640</v>
      </c>
      <c r="B869" s="70" t="s">
        <v>940</v>
      </c>
      <c r="C869" s="213" t="s">
        <v>936</v>
      </c>
      <c r="D869" s="118">
        <f t="shared" si="111"/>
        <v>1130</v>
      </c>
      <c r="E869" s="118">
        <f t="shared" si="112"/>
        <v>226</v>
      </c>
      <c r="F869" s="118">
        <f t="shared" si="113"/>
        <v>1356</v>
      </c>
      <c r="G869" s="123">
        <v>1251</v>
      </c>
      <c r="H869" s="304">
        <f t="shared" si="114"/>
        <v>1356.0840000000001</v>
      </c>
      <c r="I869" s="304">
        <f t="shared" si="115"/>
        <v>1356</v>
      </c>
      <c r="L869" s="195"/>
    </row>
    <row r="870" spans="1:12" customFormat="1" outlineLevel="2" x14ac:dyDescent="0.2">
      <c r="A870" s="338" t="s">
        <v>2641</v>
      </c>
      <c r="B870" s="70" t="s">
        <v>941</v>
      </c>
      <c r="C870" s="213" t="s">
        <v>936</v>
      </c>
      <c r="D870" s="118">
        <f t="shared" si="111"/>
        <v>2260</v>
      </c>
      <c r="E870" s="118">
        <f t="shared" si="112"/>
        <v>452</v>
      </c>
      <c r="F870" s="118">
        <f t="shared" si="113"/>
        <v>2712</v>
      </c>
      <c r="G870" s="123">
        <v>2502</v>
      </c>
      <c r="H870" s="304">
        <f t="shared" si="114"/>
        <v>2712.1680000000001</v>
      </c>
      <c r="I870" s="304">
        <f t="shared" si="115"/>
        <v>2712</v>
      </c>
      <c r="L870" s="195"/>
    </row>
    <row r="871" spans="1:12" customFormat="1" outlineLevel="2" x14ac:dyDescent="0.2">
      <c r="A871" s="338" t="s">
        <v>2642</v>
      </c>
      <c r="B871" s="70" t="s">
        <v>942</v>
      </c>
      <c r="C871" s="213" t="s">
        <v>936</v>
      </c>
      <c r="D871" s="118">
        <f t="shared" si="111"/>
        <v>1552.5</v>
      </c>
      <c r="E871" s="118">
        <f t="shared" si="112"/>
        <v>310.5</v>
      </c>
      <c r="F871" s="118">
        <f t="shared" si="113"/>
        <v>1863</v>
      </c>
      <c r="G871" s="123">
        <v>1719</v>
      </c>
      <c r="H871" s="304">
        <f t="shared" si="114"/>
        <v>1863.3960000000002</v>
      </c>
      <c r="I871" s="304">
        <f t="shared" si="115"/>
        <v>1863</v>
      </c>
      <c r="L871" s="195"/>
    </row>
    <row r="872" spans="1:12" customFormat="1" outlineLevel="2" x14ac:dyDescent="0.2">
      <c r="A872" s="338" t="s">
        <v>2643</v>
      </c>
      <c r="B872" s="70" t="s">
        <v>943</v>
      </c>
      <c r="C872" s="213" t="s">
        <v>936</v>
      </c>
      <c r="D872" s="118">
        <f t="shared" si="111"/>
        <v>706.66666666666663</v>
      </c>
      <c r="E872" s="118">
        <f t="shared" si="112"/>
        <v>141.33333333333334</v>
      </c>
      <c r="F872" s="118">
        <f t="shared" si="113"/>
        <v>848</v>
      </c>
      <c r="G872" s="123">
        <v>782</v>
      </c>
      <c r="H872" s="304">
        <f t="shared" si="114"/>
        <v>847.6880000000001</v>
      </c>
      <c r="I872" s="304">
        <f t="shared" si="115"/>
        <v>848</v>
      </c>
      <c r="L872" s="195"/>
    </row>
    <row r="873" spans="1:12" customFormat="1" ht="30.75" outlineLevel="1" x14ac:dyDescent="0.2">
      <c r="A873" s="338" t="s">
        <v>78</v>
      </c>
      <c r="B873" s="70" t="s">
        <v>3798</v>
      </c>
      <c r="C873" s="213" t="s">
        <v>936</v>
      </c>
      <c r="D873" s="118">
        <f t="shared" si="111"/>
        <v>997.5</v>
      </c>
      <c r="E873" s="118">
        <f t="shared" si="112"/>
        <v>199.5</v>
      </c>
      <c r="F873" s="118">
        <v>1197</v>
      </c>
      <c r="G873" s="123">
        <v>626</v>
      </c>
      <c r="H873" s="304">
        <f t="shared" si="114"/>
        <v>678.58400000000006</v>
      </c>
      <c r="I873" s="304">
        <f t="shared" si="115"/>
        <v>679</v>
      </c>
      <c r="L873" s="195"/>
    </row>
    <row r="874" spans="1:12" customFormat="1" outlineLevel="1" x14ac:dyDescent="0.2">
      <c r="A874" s="338" t="s">
        <v>377</v>
      </c>
      <c r="B874" s="70" t="s">
        <v>947</v>
      </c>
      <c r="C874" s="107"/>
      <c r="D874" s="118"/>
      <c r="E874" s="118"/>
      <c r="F874" s="118"/>
      <c r="G874" s="123"/>
      <c r="H874" s="304">
        <f t="shared" si="114"/>
        <v>0</v>
      </c>
      <c r="I874" s="304">
        <f t="shared" si="115"/>
        <v>0</v>
      </c>
      <c r="L874" s="195"/>
    </row>
    <row r="875" spans="1:12" customFormat="1" outlineLevel="2" x14ac:dyDescent="0.2">
      <c r="A875" s="25" t="s">
        <v>2644</v>
      </c>
      <c r="B875" s="70" t="s">
        <v>948</v>
      </c>
      <c r="C875" s="213" t="s">
        <v>6</v>
      </c>
      <c r="D875" s="118">
        <f t="shared" si="111"/>
        <v>846.66666666666663</v>
      </c>
      <c r="E875" s="118">
        <f t="shared" si="112"/>
        <v>169.33333333333337</v>
      </c>
      <c r="F875" s="118">
        <f t="shared" si="113"/>
        <v>1016</v>
      </c>
      <c r="G875" s="123">
        <v>937</v>
      </c>
      <c r="H875" s="304">
        <f t="shared" si="114"/>
        <v>1015.7080000000001</v>
      </c>
      <c r="I875" s="304">
        <f t="shared" si="115"/>
        <v>1016</v>
      </c>
      <c r="L875" s="195"/>
    </row>
    <row r="876" spans="1:12" customFormat="1" outlineLevel="2" x14ac:dyDescent="0.2">
      <c r="A876" s="25" t="s">
        <v>2645</v>
      </c>
      <c r="B876" s="70" t="s">
        <v>949</v>
      </c>
      <c r="C876" s="213" t="s">
        <v>6</v>
      </c>
      <c r="D876" s="118">
        <f t="shared" si="111"/>
        <v>140.83333333333331</v>
      </c>
      <c r="E876" s="118">
        <f t="shared" si="112"/>
        <v>28.166666666666671</v>
      </c>
      <c r="F876" s="118">
        <f t="shared" si="113"/>
        <v>169</v>
      </c>
      <c r="G876" s="123">
        <v>156</v>
      </c>
      <c r="H876" s="304">
        <f t="shared" si="114"/>
        <v>169.10400000000001</v>
      </c>
      <c r="I876" s="304">
        <f t="shared" si="115"/>
        <v>169</v>
      </c>
      <c r="L876" s="195"/>
    </row>
    <row r="877" spans="1:12" customFormat="1" ht="31.5" outlineLevel="1" x14ac:dyDescent="0.2">
      <c r="A877" s="25" t="s">
        <v>1449</v>
      </c>
      <c r="B877" s="70" t="s">
        <v>950</v>
      </c>
      <c r="C877" s="107" t="s">
        <v>418</v>
      </c>
      <c r="D877" s="118">
        <f t="shared" si="111"/>
        <v>55.833333333333329</v>
      </c>
      <c r="E877" s="118">
        <f t="shared" si="112"/>
        <v>11.166666666666668</v>
      </c>
      <c r="F877" s="118">
        <f t="shared" si="113"/>
        <v>67</v>
      </c>
      <c r="G877" s="123">
        <v>62</v>
      </c>
      <c r="H877" s="304">
        <f t="shared" si="114"/>
        <v>67.207999999999998</v>
      </c>
      <c r="I877" s="304">
        <f t="shared" si="115"/>
        <v>67</v>
      </c>
      <c r="L877" s="195"/>
    </row>
    <row r="878" spans="1:12" customFormat="1" outlineLevel="1" x14ac:dyDescent="0.2">
      <c r="A878" s="25" t="s">
        <v>1450</v>
      </c>
      <c r="B878" s="70" t="s">
        <v>951</v>
      </c>
      <c r="C878" s="107" t="s">
        <v>974</v>
      </c>
      <c r="D878" s="118">
        <f t="shared" si="111"/>
        <v>365.83333333333331</v>
      </c>
      <c r="E878" s="118">
        <f t="shared" si="112"/>
        <v>73.166666666666671</v>
      </c>
      <c r="F878" s="118">
        <f t="shared" si="113"/>
        <v>439</v>
      </c>
      <c r="G878" s="123">
        <v>405</v>
      </c>
      <c r="H878" s="304">
        <f t="shared" si="114"/>
        <v>439.02000000000004</v>
      </c>
      <c r="I878" s="304">
        <f t="shared" si="115"/>
        <v>439</v>
      </c>
      <c r="L878" s="195"/>
    </row>
    <row r="879" spans="1:12" customFormat="1" ht="31.5" outlineLevel="1" x14ac:dyDescent="0.2">
      <c r="A879" s="25" t="s">
        <v>1451</v>
      </c>
      <c r="B879" s="70" t="s">
        <v>952</v>
      </c>
      <c r="C879" s="107" t="s">
        <v>418</v>
      </c>
      <c r="D879" s="118">
        <f t="shared" si="111"/>
        <v>230</v>
      </c>
      <c r="E879" s="118">
        <f t="shared" si="112"/>
        <v>46</v>
      </c>
      <c r="F879" s="118">
        <f t="shared" si="113"/>
        <v>276</v>
      </c>
      <c r="G879" s="123">
        <v>255</v>
      </c>
      <c r="H879" s="304">
        <f t="shared" si="114"/>
        <v>276.42</v>
      </c>
      <c r="I879" s="304">
        <f t="shared" si="115"/>
        <v>276</v>
      </c>
      <c r="L879" s="195"/>
    </row>
    <row r="880" spans="1:12" customFormat="1" ht="25.5" outlineLevel="1" x14ac:dyDescent="0.2">
      <c r="A880" s="25" t="s">
        <v>1453</v>
      </c>
      <c r="B880" s="70" t="s">
        <v>953</v>
      </c>
      <c r="C880" s="107" t="s">
        <v>954</v>
      </c>
      <c r="D880" s="118"/>
      <c r="E880" s="118"/>
      <c r="F880" s="118"/>
      <c r="G880" s="123"/>
      <c r="H880" s="304">
        <f t="shared" si="114"/>
        <v>0</v>
      </c>
      <c r="I880" s="304">
        <f t="shared" si="115"/>
        <v>0</v>
      </c>
      <c r="L880" s="195"/>
    </row>
    <row r="881" spans="1:12" customFormat="1" outlineLevel="2" x14ac:dyDescent="0.2">
      <c r="A881" s="338" t="s">
        <v>2646</v>
      </c>
      <c r="B881" s="70" t="s">
        <v>967</v>
      </c>
      <c r="C881" s="107" t="s">
        <v>787</v>
      </c>
      <c r="D881" s="118">
        <f t="shared" si="111"/>
        <v>359.16666666666663</v>
      </c>
      <c r="E881" s="118">
        <f t="shared" si="112"/>
        <v>71.833333333333343</v>
      </c>
      <c r="F881" s="118">
        <f t="shared" si="113"/>
        <v>431</v>
      </c>
      <c r="G881" s="123">
        <v>398</v>
      </c>
      <c r="H881" s="304">
        <f t="shared" si="114"/>
        <v>431.43200000000002</v>
      </c>
      <c r="I881" s="304">
        <f t="shared" si="115"/>
        <v>431</v>
      </c>
      <c r="L881" s="195"/>
    </row>
    <row r="882" spans="1:12" customFormat="1" outlineLevel="2" x14ac:dyDescent="0.2">
      <c r="A882" s="338" t="s">
        <v>2647</v>
      </c>
      <c r="B882" s="70" t="s">
        <v>968</v>
      </c>
      <c r="C882" s="213" t="s">
        <v>787</v>
      </c>
      <c r="D882" s="118">
        <f t="shared" si="111"/>
        <v>632.5</v>
      </c>
      <c r="E882" s="118">
        <f t="shared" si="112"/>
        <v>126.5</v>
      </c>
      <c r="F882" s="118">
        <f t="shared" si="113"/>
        <v>759</v>
      </c>
      <c r="G882" s="123">
        <v>700</v>
      </c>
      <c r="H882" s="304">
        <f t="shared" si="114"/>
        <v>758.80000000000007</v>
      </c>
      <c r="I882" s="304">
        <f t="shared" si="115"/>
        <v>759</v>
      </c>
      <c r="L882" s="195"/>
    </row>
    <row r="883" spans="1:12" customFormat="1" outlineLevel="2" x14ac:dyDescent="0.2">
      <c r="A883" s="338" t="s">
        <v>2648</v>
      </c>
      <c r="B883" s="70" t="s">
        <v>969</v>
      </c>
      <c r="C883" s="213" t="s">
        <v>787</v>
      </c>
      <c r="D883" s="118">
        <f t="shared" si="111"/>
        <v>757.5</v>
      </c>
      <c r="E883" s="118">
        <f t="shared" si="112"/>
        <v>151.5</v>
      </c>
      <c r="F883" s="118">
        <f t="shared" si="113"/>
        <v>909</v>
      </c>
      <c r="G883" s="123">
        <v>839</v>
      </c>
      <c r="H883" s="304">
        <f t="shared" si="114"/>
        <v>909.47600000000011</v>
      </c>
      <c r="I883" s="304">
        <f t="shared" si="115"/>
        <v>909</v>
      </c>
      <c r="L883" s="195"/>
    </row>
    <row r="884" spans="1:12" customFormat="1" outlineLevel="2" x14ac:dyDescent="0.2">
      <c r="A884" s="338" t="s">
        <v>2649</v>
      </c>
      <c r="B884" s="70" t="s">
        <v>970</v>
      </c>
      <c r="C884" s="213" t="s">
        <v>787</v>
      </c>
      <c r="D884" s="118">
        <f t="shared" si="111"/>
        <v>719.16666666666663</v>
      </c>
      <c r="E884" s="118">
        <f t="shared" si="112"/>
        <v>143.83333333333334</v>
      </c>
      <c r="F884" s="118">
        <f t="shared" si="113"/>
        <v>863</v>
      </c>
      <c r="G884" s="123">
        <v>796</v>
      </c>
      <c r="H884" s="304">
        <f t="shared" si="114"/>
        <v>862.86400000000003</v>
      </c>
      <c r="I884" s="304">
        <f t="shared" si="115"/>
        <v>863</v>
      </c>
      <c r="L884" s="195"/>
    </row>
    <row r="885" spans="1:12" customFormat="1" outlineLevel="2" x14ac:dyDescent="0.2">
      <c r="A885" s="338" t="s">
        <v>2650</v>
      </c>
      <c r="B885" s="70" t="s">
        <v>971</v>
      </c>
      <c r="C885" s="213" t="s">
        <v>787</v>
      </c>
      <c r="D885" s="118">
        <f t="shared" si="111"/>
        <v>970</v>
      </c>
      <c r="E885" s="118">
        <f t="shared" si="112"/>
        <v>194</v>
      </c>
      <c r="F885" s="118">
        <f t="shared" si="113"/>
        <v>1164</v>
      </c>
      <c r="G885" s="123">
        <v>1074</v>
      </c>
      <c r="H885" s="304">
        <f t="shared" si="114"/>
        <v>1164.2160000000001</v>
      </c>
      <c r="I885" s="304">
        <f t="shared" si="115"/>
        <v>1164</v>
      </c>
      <c r="L885" s="195"/>
    </row>
    <row r="886" spans="1:12" customFormat="1" ht="96.75" customHeight="1" outlineLevel="1" x14ac:dyDescent="0.2">
      <c r="A886" s="25" t="s">
        <v>1454</v>
      </c>
      <c r="B886" s="70" t="s">
        <v>955</v>
      </c>
      <c r="C886" s="107" t="s">
        <v>418</v>
      </c>
      <c r="D886" s="118">
        <f t="shared" si="111"/>
        <v>117.5</v>
      </c>
      <c r="E886" s="118">
        <f t="shared" si="112"/>
        <v>23.5</v>
      </c>
      <c r="F886" s="118">
        <f t="shared" si="113"/>
        <v>141</v>
      </c>
      <c r="G886" s="123">
        <v>130</v>
      </c>
      <c r="H886" s="304">
        <f t="shared" si="114"/>
        <v>140.92000000000002</v>
      </c>
      <c r="I886" s="304">
        <f t="shared" si="115"/>
        <v>141</v>
      </c>
      <c r="L886" s="195"/>
    </row>
    <row r="887" spans="1:12" customFormat="1" ht="31.5" outlineLevel="1" x14ac:dyDescent="0.2">
      <c r="A887" s="25" t="s">
        <v>1455</v>
      </c>
      <c r="B887" s="70" t="s">
        <v>956</v>
      </c>
      <c r="C887" s="107" t="s">
        <v>957</v>
      </c>
      <c r="D887" s="118">
        <f t="shared" si="111"/>
        <v>23.333333333333332</v>
      </c>
      <c r="E887" s="118">
        <f t="shared" si="112"/>
        <v>4.666666666666667</v>
      </c>
      <c r="F887" s="118">
        <f t="shared" si="113"/>
        <v>28</v>
      </c>
      <c r="G887" s="123">
        <v>26</v>
      </c>
      <c r="H887" s="304">
        <f t="shared" si="114"/>
        <v>28.184000000000001</v>
      </c>
      <c r="I887" s="304">
        <f t="shared" si="115"/>
        <v>28</v>
      </c>
      <c r="L887" s="195"/>
    </row>
    <row r="888" spans="1:12" customFormat="1" ht="47.25" outlineLevel="1" x14ac:dyDescent="0.2">
      <c r="A888" s="25" t="s">
        <v>1532</v>
      </c>
      <c r="B888" s="70" t="s">
        <v>958</v>
      </c>
      <c r="C888" s="107" t="s">
        <v>810</v>
      </c>
      <c r="D888" s="118">
        <f t="shared" si="111"/>
        <v>3.333333333333333</v>
      </c>
      <c r="E888" s="118">
        <f t="shared" si="112"/>
        <v>0.66666666666666674</v>
      </c>
      <c r="F888" s="118">
        <f t="shared" si="113"/>
        <v>4</v>
      </c>
      <c r="G888" s="123">
        <v>4</v>
      </c>
      <c r="H888" s="304">
        <f t="shared" si="114"/>
        <v>4.3360000000000003</v>
      </c>
      <c r="I888" s="304">
        <f t="shared" si="115"/>
        <v>4</v>
      </c>
      <c r="L888" s="195"/>
    </row>
    <row r="889" spans="1:12" customFormat="1" ht="47.25" outlineLevel="1" x14ac:dyDescent="0.2">
      <c r="A889" s="25" t="s">
        <v>1533</v>
      </c>
      <c r="B889" s="70" t="s">
        <v>959</v>
      </c>
      <c r="C889" s="107" t="s">
        <v>810</v>
      </c>
      <c r="D889" s="118">
        <f t="shared" si="111"/>
        <v>65.833333333333329</v>
      </c>
      <c r="E889" s="118">
        <f t="shared" si="112"/>
        <v>13.16666666666667</v>
      </c>
      <c r="F889" s="118">
        <f t="shared" si="113"/>
        <v>79</v>
      </c>
      <c r="G889" s="123">
        <v>73</v>
      </c>
      <c r="H889" s="304">
        <f t="shared" si="114"/>
        <v>79.132000000000005</v>
      </c>
      <c r="I889" s="304">
        <f t="shared" si="115"/>
        <v>79</v>
      </c>
      <c r="L889" s="195"/>
    </row>
    <row r="890" spans="1:12" customFormat="1" outlineLevel="1" x14ac:dyDescent="0.2">
      <c r="A890" s="25" t="s">
        <v>1534</v>
      </c>
      <c r="B890" s="70" t="s">
        <v>960</v>
      </c>
      <c r="C890" s="107" t="s">
        <v>810</v>
      </c>
      <c r="D890" s="118">
        <f t="shared" si="111"/>
        <v>40.833333333333329</v>
      </c>
      <c r="E890" s="118">
        <f t="shared" si="112"/>
        <v>8.1666666666666679</v>
      </c>
      <c r="F890" s="118">
        <f t="shared" si="113"/>
        <v>49</v>
      </c>
      <c r="G890" s="123">
        <v>45</v>
      </c>
      <c r="H890" s="304">
        <f t="shared" si="114"/>
        <v>48.78</v>
      </c>
      <c r="I890" s="304">
        <f t="shared" si="115"/>
        <v>49</v>
      </c>
      <c r="L890" s="195"/>
    </row>
    <row r="891" spans="1:12" customFormat="1" outlineLevel="1" x14ac:dyDescent="0.2">
      <c r="A891" s="25" t="s">
        <v>1602</v>
      </c>
      <c r="B891" s="70" t="s">
        <v>961</v>
      </c>
      <c r="C891" s="107" t="s">
        <v>810</v>
      </c>
      <c r="D891" s="118">
        <f t="shared" si="111"/>
        <v>201.66666666666666</v>
      </c>
      <c r="E891" s="118">
        <f t="shared" si="112"/>
        <v>40.333333333333343</v>
      </c>
      <c r="F891" s="118">
        <f t="shared" si="113"/>
        <v>242</v>
      </c>
      <c r="G891" s="123">
        <v>223</v>
      </c>
      <c r="H891" s="304">
        <f t="shared" si="114"/>
        <v>241.73200000000003</v>
      </c>
      <c r="I891" s="304">
        <f t="shared" si="115"/>
        <v>242</v>
      </c>
      <c r="L891" s="195"/>
    </row>
    <row r="892" spans="1:12" customFormat="1" ht="31.5" outlineLevel="1" x14ac:dyDescent="0.2">
      <c r="A892" s="25" t="s">
        <v>1603</v>
      </c>
      <c r="B892" s="70" t="s">
        <v>962</v>
      </c>
      <c r="C892" s="107" t="s">
        <v>418</v>
      </c>
      <c r="D892" s="118">
        <f t="shared" si="111"/>
        <v>140.83333333333331</v>
      </c>
      <c r="E892" s="118">
        <f t="shared" si="112"/>
        <v>28.166666666666671</v>
      </c>
      <c r="F892" s="118">
        <f t="shared" si="113"/>
        <v>169</v>
      </c>
      <c r="G892" s="123">
        <v>156</v>
      </c>
      <c r="H892" s="304">
        <f t="shared" si="114"/>
        <v>169.10400000000001</v>
      </c>
      <c r="I892" s="304">
        <f t="shared" si="115"/>
        <v>169</v>
      </c>
      <c r="L892" s="195"/>
    </row>
    <row r="893" spans="1:12" customFormat="1" outlineLevel="1" x14ac:dyDescent="0.2">
      <c r="A893" s="25" t="s">
        <v>1604</v>
      </c>
      <c r="B893" s="70" t="s">
        <v>963</v>
      </c>
      <c r="C893" s="107" t="s">
        <v>964</v>
      </c>
      <c r="D893" s="118">
        <f t="shared" si="111"/>
        <v>28.333333333333332</v>
      </c>
      <c r="E893" s="118">
        <f t="shared" si="112"/>
        <v>5.6666666666666679</v>
      </c>
      <c r="F893" s="118">
        <f t="shared" si="113"/>
        <v>34</v>
      </c>
      <c r="G893" s="123">
        <v>31</v>
      </c>
      <c r="H893" s="304">
        <f t="shared" si="114"/>
        <v>33.603999999999999</v>
      </c>
      <c r="I893" s="304">
        <f t="shared" si="115"/>
        <v>34</v>
      </c>
      <c r="L893" s="195"/>
    </row>
    <row r="894" spans="1:12" customFormat="1" outlineLevel="1" x14ac:dyDescent="0.2">
      <c r="A894" s="25" t="s">
        <v>1605</v>
      </c>
      <c r="B894" s="70" t="s">
        <v>965</v>
      </c>
      <c r="C894" s="107" t="s">
        <v>6</v>
      </c>
      <c r="D894" s="118">
        <f t="shared" si="111"/>
        <v>79.166666666666657</v>
      </c>
      <c r="E894" s="118">
        <f t="shared" si="112"/>
        <v>15.833333333333336</v>
      </c>
      <c r="F894" s="118">
        <f t="shared" si="113"/>
        <v>95</v>
      </c>
      <c r="G894" s="123">
        <v>88</v>
      </c>
      <c r="H894" s="304">
        <f t="shared" si="114"/>
        <v>95.39200000000001</v>
      </c>
      <c r="I894" s="304">
        <f t="shared" si="115"/>
        <v>95</v>
      </c>
      <c r="L894" s="195"/>
    </row>
    <row r="895" spans="1:12" customFormat="1" ht="31.5" outlineLevel="1" x14ac:dyDescent="0.2">
      <c r="A895" s="25" t="s">
        <v>1711</v>
      </c>
      <c r="B895" s="70" t="s">
        <v>1493</v>
      </c>
      <c r="C895" s="141"/>
      <c r="D895" s="118"/>
      <c r="E895" s="118"/>
      <c r="F895" s="118"/>
      <c r="G895" s="123"/>
      <c r="H895" s="304">
        <f t="shared" si="114"/>
        <v>0</v>
      </c>
      <c r="I895" s="304">
        <f t="shared" si="115"/>
        <v>0</v>
      </c>
      <c r="L895" s="195"/>
    </row>
    <row r="896" spans="1:12" customFormat="1" outlineLevel="2" x14ac:dyDescent="0.2">
      <c r="A896" s="338" t="s">
        <v>2651</v>
      </c>
      <c r="B896" s="70" t="s">
        <v>1499</v>
      </c>
      <c r="C896" s="213" t="s">
        <v>1497</v>
      </c>
      <c r="D896" s="118">
        <f t="shared" si="111"/>
        <v>45.833333333333329</v>
      </c>
      <c r="E896" s="118">
        <f t="shared" si="112"/>
        <v>9.1666666666666679</v>
      </c>
      <c r="F896" s="118">
        <f t="shared" si="113"/>
        <v>55</v>
      </c>
      <c r="G896" s="118">
        <v>51</v>
      </c>
      <c r="H896" s="304">
        <f t="shared" si="114"/>
        <v>55.284000000000006</v>
      </c>
      <c r="I896" s="304">
        <f t="shared" si="115"/>
        <v>55</v>
      </c>
      <c r="L896" s="195"/>
    </row>
    <row r="897" spans="1:12" customFormat="1" outlineLevel="2" x14ac:dyDescent="0.2">
      <c r="A897" s="338" t="s">
        <v>2652</v>
      </c>
      <c r="B897" s="70" t="s">
        <v>1464</v>
      </c>
      <c r="C897" s="213" t="s">
        <v>1497</v>
      </c>
      <c r="D897" s="118">
        <f t="shared" si="111"/>
        <v>52.5</v>
      </c>
      <c r="E897" s="118">
        <f t="shared" si="112"/>
        <v>10.5</v>
      </c>
      <c r="F897" s="118">
        <f t="shared" si="113"/>
        <v>63</v>
      </c>
      <c r="G897" s="118">
        <v>58</v>
      </c>
      <c r="H897" s="304">
        <f t="shared" si="114"/>
        <v>62.872000000000007</v>
      </c>
      <c r="I897" s="304">
        <f t="shared" si="115"/>
        <v>63</v>
      </c>
      <c r="L897" s="195"/>
    </row>
    <row r="898" spans="1:12" customFormat="1" outlineLevel="2" x14ac:dyDescent="0.2">
      <c r="A898" s="338" t="s">
        <v>2653</v>
      </c>
      <c r="B898" s="70" t="s">
        <v>1465</v>
      </c>
      <c r="C898" s="213" t="s">
        <v>1497</v>
      </c>
      <c r="D898" s="118">
        <f t="shared" si="111"/>
        <v>57.5</v>
      </c>
      <c r="E898" s="118">
        <f t="shared" si="112"/>
        <v>11.5</v>
      </c>
      <c r="F898" s="118">
        <f t="shared" si="113"/>
        <v>69</v>
      </c>
      <c r="G898" s="118">
        <v>64</v>
      </c>
      <c r="H898" s="304">
        <f t="shared" si="114"/>
        <v>69.376000000000005</v>
      </c>
      <c r="I898" s="304">
        <f t="shared" si="115"/>
        <v>69</v>
      </c>
      <c r="L898" s="195"/>
    </row>
    <row r="899" spans="1:12" customFormat="1" outlineLevel="2" x14ac:dyDescent="0.2">
      <c r="A899" s="338" t="s">
        <v>2654</v>
      </c>
      <c r="B899" s="70" t="s">
        <v>1466</v>
      </c>
      <c r="C899" s="213" t="s">
        <v>1497</v>
      </c>
      <c r="D899" s="118">
        <f t="shared" si="111"/>
        <v>150.83333333333331</v>
      </c>
      <c r="E899" s="118">
        <f t="shared" si="112"/>
        <v>30.166666666666671</v>
      </c>
      <c r="F899" s="118">
        <f t="shared" si="113"/>
        <v>181</v>
      </c>
      <c r="G899" s="118">
        <v>167</v>
      </c>
      <c r="H899" s="304">
        <f t="shared" si="114"/>
        <v>181.02800000000002</v>
      </c>
      <c r="I899" s="304">
        <f t="shared" si="115"/>
        <v>181</v>
      </c>
      <c r="L899" s="195"/>
    </row>
    <row r="900" spans="1:12" customFormat="1" outlineLevel="2" x14ac:dyDescent="0.2">
      <c r="A900" s="338" t="s">
        <v>2655</v>
      </c>
      <c r="B900" s="70" t="s">
        <v>1467</v>
      </c>
      <c r="C900" s="213" t="s">
        <v>1497</v>
      </c>
      <c r="D900" s="118">
        <f t="shared" si="111"/>
        <v>168.33333333333331</v>
      </c>
      <c r="E900" s="118">
        <f t="shared" si="112"/>
        <v>33.666666666666671</v>
      </c>
      <c r="F900" s="118">
        <f t="shared" si="113"/>
        <v>202</v>
      </c>
      <c r="G900" s="118">
        <v>186</v>
      </c>
      <c r="H900" s="304">
        <f t="shared" si="114"/>
        <v>201.62400000000002</v>
      </c>
      <c r="I900" s="304">
        <f t="shared" si="115"/>
        <v>202</v>
      </c>
      <c r="L900" s="195"/>
    </row>
    <row r="901" spans="1:12" customFormat="1" outlineLevel="2" x14ac:dyDescent="0.2">
      <c r="A901" s="338" t="s">
        <v>2656</v>
      </c>
      <c r="B901" s="70" t="s">
        <v>1468</v>
      </c>
      <c r="C901" s="213" t="s">
        <v>1497</v>
      </c>
      <c r="D901" s="118">
        <f t="shared" si="111"/>
        <v>180</v>
      </c>
      <c r="E901" s="118">
        <f t="shared" si="112"/>
        <v>36</v>
      </c>
      <c r="F901" s="118">
        <f t="shared" si="113"/>
        <v>216</v>
      </c>
      <c r="G901" s="118">
        <v>199</v>
      </c>
      <c r="H901" s="304">
        <f t="shared" si="114"/>
        <v>215.71600000000001</v>
      </c>
      <c r="I901" s="304">
        <f t="shared" si="115"/>
        <v>216</v>
      </c>
      <c r="L901" s="195"/>
    </row>
    <row r="902" spans="1:12" customFormat="1" outlineLevel="2" x14ac:dyDescent="0.2">
      <c r="A902" s="338" t="s">
        <v>2657</v>
      </c>
      <c r="B902" s="70" t="s">
        <v>1469</v>
      </c>
      <c r="C902" s="213" t="s">
        <v>1497</v>
      </c>
      <c r="D902" s="118">
        <f t="shared" si="111"/>
        <v>225.83333333333331</v>
      </c>
      <c r="E902" s="118">
        <f t="shared" si="112"/>
        <v>45.166666666666671</v>
      </c>
      <c r="F902" s="118">
        <f t="shared" si="113"/>
        <v>271</v>
      </c>
      <c r="G902" s="118">
        <v>250</v>
      </c>
      <c r="H902" s="304">
        <f t="shared" si="114"/>
        <v>271</v>
      </c>
      <c r="I902" s="304">
        <f t="shared" si="115"/>
        <v>271</v>
      </c>
      <c r="L902" s="195"/>
    </row>
    <row r="903" spans="1:12" customFormat="1" outlineLevel="2" x14ac:dyDescent="0.2">
      <c r="A903" s="338" t="s">
        <v>2658</v>
      </c>
      <c r="B903" s="70" t="s">
        <v>1470</v>
      </c>
      <c r="C903" s="213" t="s">
        <v>1497</v>
      </c>
      <c r="D903" s="118">
        <f t="shared" si="111"/>
        <v>280</v>
      </c>
      <c r="E903" s="118">
        <f t="shared" si="112"/>
        <v>56</v>
      </c>
      <c r="F903" s="118">
        <f t="shared" si="113"/>
        <v>336</v>
      </c>
      <c r="G903" s="118">
        <v>310</v>
      </c>
      <c r="H903" s="304">
        <f t="shared" si="114"/>
        <v>336.04</v>
      </c>
      <c r="I903" s="304">
        <f t="shared" si="115"/>
        <v>336</v>
      </c>
      <c r="L903" s="195"/>
    </row>
    <row r="904" spans="1:12" customFormat="1" outlineLevel="2" x14ac:dyDescent="0.2">
      <c r="A904" s="338" t="s">
        <v>2659</v>
      </c>
      <c r="B904" s="70" t="s">
        <v>1471</v>
      </c>
      <c r="C904" s="213" t="s">
        <v>1497</v>
      </c>
      <c r="D904" s="118">
        <f t="shared" si="111"/>
        <v>289.16666666666663</v>
      </c>
      <c r="E904" s="118">
        <f t="shared" si="112"/>
        <v>57.833333333333343</v>
      </c>
      <c r="F904" s="118">
        <f t="shared" si="113"/>
        <v>347</v>
      </c>
      <c r="G904" s="118">
        <v>320</v>
      </c>
      <c r="H904" s="304">
        <f t="shared" si="114"/>
        <v>346.88</v>
      </c>
      <c r="I904" s="304">
        <f t="shared" si="115"/>
        <v>347</v>
      </c>
      <c r="L904" s="195"/>
    </row>
    <row r="905" spans="1:12" customFormat="1" outlineLevel="2" x14ac:dyDescent="0.2">
      <c r="A905" s="338" t="s">
        <v>2660</v>
      </c>
      <c r="B905" s="70" t="s">
        <v>1472</v>
      </c>
      <c r="C905" s="213" t="s">
        <v>1497</v>
      </c>
      <c r="D905" s="118">
        <f t="shared" si="111"/>
        <v>324.16666666666663</v>
      </c>
      <c r="E905" s="118">
        <f t="shared" si="112"/>
        <v>64.833333333333343</v>
      </c>
      <c r="F905" s="118">
        <f t="shared" si="113"/>
        <v>389</v>
      </c>
      <c r="G905" s="118">
        <v>359</v>
      </c>
      <c r="H905" s="304">
        <f t="shared" si="114"/>
        <v>389.15600000000001</v>
      </c>
      <c r="I905" s="304">
        <f t="shared" si="115"/>
        <v>389</v>
      </c>
      <c r="L905" s="195"/>
    </row>
    <row r="906" spans="1:12" customFormat="1" outlineLevel="2" x14ac:dyDescent="0.2">
      <c r="A906" s="338" t="s">
        <v>2661</v>
      </c>
      <c r="B906" s="70" t="s">
        <v>1473</v>
      </c>
      <c r="C906" s="213" t="s">
        <v>1497</v>
      </c>
      <c r="D906" s="118">
        <f t="shared" si="111"/>
        <v>405.83333333333331</v>
      </c>
      <c r="E906" s="118">
        <f t="shared" si="112"/>
        <v>81.166666666666686</v>
      </c>
      <c r="F906" s="118">
        <f t="shared" si="113"/>
        <v>487</v>
      </c>
      <c r="G906" s="118">
        <v>449</v>
      </c>
      <c r="H906" s="304">
        <f t="shared" si="114"/>
        <v>486.71600000000001</v>
      </c>
      <c r="I906" s="304">
        <f t="shared" si="115"/>
        <v>487</v>
      </c>
      <c r="L906" s="195"/>
    </row>
    <row r="907" spans="1:12" customFormat="1" outlineLevel="2" x14ac:dyDescent="0.2">
      <c r="A907" s="338" t="s">
        <v>2662</v>
      </c>
      <c r="B907" s="70" t="s">
        <v>1474</v>
      </c>
      <c r="C907" s="213" t="s">
        <v>1497</v>
      </c>
      <c r="D907" s="118">
        <f t="shared" si="111"/>
        <v>422.5</v>
      </c>
      <c r="E907" s="118">
        <f t="shared" si="112"/>
        <v>84.5</v>
      </c>
      <c r="F907" s="118">
        <f t="shared" si="113"/>
        <v>507</v>
      </c>
      <c r="G907" s="118">
        <v>468</v>
      </c>
      <c r="H907" s="304">
        <f t="shared" si="114"/>
        <v>507.31200000000001</v>
      </c>
      <c r="I907" s="304">
        <f t="shared" si="115"/>
        <v>507</v>
      </c>
      <c r="L907" s="195"/>
    </row>
    <row r="908" spans="1:12" customFormat="1" outlineLevel="2" x14ac:dyDescent="0.2">
      <c r="A908" s="338" t="s">
        <v>2663</v>
      </c>
      <c r="B908" s="70" t="s">
        <v>1475</v>
      </c>
      <c r="C908" s="213" t="s">
        <v>1497</v>
      </c>
      <c r="D908" s="118">
        <f t="shared" si="111"/>
        <v>428.33333333333331</v>
      </c>
      <c r="E908" s="118">
        <f t="shared" si="112"/>
        <v>85.666666666666686</v>
      </c>
      <c r="F908" s="118">
        <f t="shared" si="113"/>
        <v>514</v>
      </c>
      <c r="G908" s="118">
        <v>474</v>
      </c>
      <c r="H908" s="304">
        <f t="shared" si="114"/>
        <v>513.81600000000003</v>
      </c>
      <c r="I908" s="304">
        <f t="shared" si="115"/>
        <v>514</v>
      </c>
      <c r="L908" s="195"/>
    </row>
    <row r="909" spans="1:12" customFormat="1" outlineLevel="2" x14ac:dyDescent="0.2">
      <c r="A909" s="338" t="s">
        <v>2664</v>
      </c>
      <c r="B909" s="70" t="s">
        <v>1476</v>
      </c>
      <c r="C909" s="213" t="s">
        <v>1497</v>
      </c>
      <c r="D909" s="118">
        <f t="shared" si="111"/>
        <v>470</v>
      </c>
      <c r="E909" s="118">
        <f t="shared" si="112"/>
        <v>94</v>
      </c>
      <c r="F909" s="118">
        <f t="shared" si="113"/>
        <v>564</v>
      </c>
      <c r="G909" s="118">
        <v>520</v>
      </c>
      <c r="H909" s="304">
        <f t="shared" si="114"/>
        <v>563.68000000000006</v>
      </c>
      <c r="I909" s="304">
        <f t="shared" si="115"/>
        <v>564</v>
      </c>
      <c r="L909" s="195"/>
    </row>
    <row r="910" spans="1:12" customFormat="1" outlineLevel="2" x14ac:dyDescent="0.2">
      <c r="A910" s="338" t="s">
        <v>2665</v>
      </c>
      <c r="B910" s="70" t="s">
        <v>1477</v>
      </c>
      <c r="C910" s="213" t="s">
        <v>1497</v>
      </c>
      <c r="D910" s="118">
        <f t="shared" si="111"/>
        <v>557.5</v>
      </c>
      <c r="E910" s="118">
        <f t="shared" si="112"/>
        <v>111.5</v>
      </c>
      <c r="F910" s="118">
        <f t="shared" si="113"/>
        <v>669</v>
      </c>
      <c r="G910" s="118">
        <v>617</v>
      </c>
      <c r="H910" s="304">
        <f t="shared" si="114"/>
        <v>668.82800000000009</v>
      </c>
      <c r="I910" s="304">
        <f t="shared" si="115"/>
        <v>669</v>
      </c>
      <c r="L910" s="195"/>
    </row>
    <row r="911" spans="1:12" customFormat="1" outlineLevel="2" x14ac:dyDescent="0.2">
      <c r="A911" s="338" t="s">
        <v>2666</v>
      </c>
      <c r="B911" s="70" t="s">
        <v>1478</v>
      </c>
      <c r="C911" s="213" t="s">
        <v>1497</v>
      </c>
      <c r="D911" s="118">
        <f t="shared" si="111"/>
        <v>630</v>
      </c>
      <c r="E911" s="118">
        <f t="shared" si="112"/>
        <v>126</v>
      </c>
      <c r="F911" s="118">
        <f t="shared" si="113"/>
        <v>756</v>
      </c>
      <c r="G911" s="118">
        <v>697</v>
      </c>
      <c r="H911" s="304">
        <f t="shared" si="114"/>
        <v>755.548</v>
      </c>
      <c r="I911" s="304">
        <f t="shared" si="115"/>
        <v>756</v>
      </c>
      <c r="L911" s="195"/>
    </row>
    <row r="912" spans="1:12" customFormat="1" outlineLevel="2" x14ac:dyDescent="0.2">
      <c r="A912" s="338" t="s">
        <v>2667</v>
      </c>
      <c r="B912" s="70" t="s">
        <v>1479</v>
      </c>
      <c r="C912" s="213" t="s">
        <v>1497</v>
      </c>
      <c r="D912" s="118">
        <f t="shared" si="111"/>
        <v>631.66666666666663</v>
      </c>
      <c r="E912" s="118">
        <f t="shared" si="112"/>
        <v>126.33333333333336</v>
      </c>
      <c r="F912" s="118">
        <f t="shared" si="113"/>
        <v>758</v>
      </c>
      <c r="G912" s="118">
        <v>699</v>
      </c>
      <c r="H912" s="304">
        <f t="shared" si="114"/>
        <v>757.71600000000001</v>
      </c>
      <c r="I912" s="304">
        <f t="shared" si="115"/>
        <v>758</v>
      </c>
      <c r="L912" s="195"/>
    </row>
    <row r="913" spans="1:12" customFormat="1" outlineLevel="1" x14ac:dyDescent="0.2">
      <c r="A913" s="25" t="s">
        <v>1719</v>
      </c>
      <c r="B913" s="70" t="s">
        <v>1541</v>
      </c>
      <c r="C913" s="154"/>
      <c r="D913" s="118"/>
      <c r="E913" s="118"/>
      <c r="F913" s="118"/>
      <c r="G913" s="118"/>
      <c r="H913" s="304">
        <f t="shared" si="114"/>
        <v>0</v>
      </c>
      <c r="I913" s="304">
        <f t="shared" si="115"/>
        <v>0</v>
      </c>
      <c r="L913" s="195"/>
    </row>
    <row r="914" spans="1:12" customFormat="1" outlineLevel="2" x14ac:dyDescent="0.2">
      <c r="A914" s="338" t="s">
        <v>2669</v>
      </c>
      <c r="B914" s="145" t="s">
        <v>1542</v>
      </c>
      <c r="C914" s="154" t="s">
        <v>785</v>
      </c>
      <c r="D914" s="118">
        <f t="shared" si="111"/>
        <v>24.166666666666664</v>
      </c>
      <c r="E914" s="118">
        <f t="shared" si="112"/>
        <v>4.8333333333333339</v>
      </c>
      <c r="F914" s="118">
        <f t="shared" si="113"/>
        <v>29</v>
      </c>
      <c r="G914" s="118">
        <v>27</v>
      </c>
      <c r="H914" s="304">
        <f t="shared" si="114"/>
        <v>29.268000000000001</v>
      </c>
      <c r="I914" s="304">
        <f t="shared" si="115"/>
        <v>29</v>
      </c>
      <c r="L914" s="195"/>
    </row>
    <row r="915" spans="1:12" customFormat="1" outlineLevel="2" x14ac:dyDescent="0.2">
      <c r="A915" s="338" t="s">
        <v>2670</v>
      </c>
      <c r="B915" s="145" t="s">
        <v>1543</v>
      </c>
      <c r="C915" s="213"/>
      <c r="D915" s="118"/>
      <c r="E915" s="118"/>
      <c r="F915" s="118"/>
      <c r="G915" s="118"/>
      <c r="H915" s="304">
        <f t="shared" si="114"/>
        <v>0</v>
      </c>
      <c r="I915" s="304">
        <f t="shared" si="115"/>
        <v>0</v>
      </c>
      <c r="L915" s="195"/>
    </row>
    <row r="916" spans="1:12" customFormat="1" outlineLevel="2" x14ac:dyDescent="0.2">
      <c r="A916" s="214" t="s">
        <v>2671</v>
      </c>
      <c r="B916" s="150" t="s">
        <v>1544</v>
      </c>
      <c r="C916" s="154" t="s">
        <v>2668</v>
      </c>
      <c r="D916" s="118">
        <f t="shared" si="111"/>
        <v>3155</v>
      </c>
      <c r="E916" s="118">
        <f t="shared" si="112"/>
        <v>631</v>
      </c>
      <c r="F916" s="118">
        <f t="shared" si="113"/>
        <v>3786</v>
      </c>
      <c r="G916" s="118">
        <v>3493</v>
      </c>
      <c r="H916" s="304">
        <f t="shared" si="114"/>
        <v>3786.4120000000003</v>
      </c>
      <c r="I916" s="304">
        <f t="shared" si="115"/>
        <v>3786</v>
      </c>
      <c r="L916" s="195"/>
    </row>
    <row r="917" spans="1:12" customFormat="1" outlineLevel="2" x14ac:dyDescent="0.2">
      <c r="A917" s="214" t="s">
        <v>2672</v>
      </c>
      <c r="B917" s="150" t="s">
        <v>1545</v>
      </c>
      <c r="C917" s="213" t="s">
        <v>2668</v>
      </c>
      <c r="D917" s="118">
        <f t="shared" si="111"/>
        <v>5307.5</v>
      </c>
      <c r="E917" s="118">
        <f t="shared" si="112"/>
        <v>1061.5</v>
      </c>
      <c r="F917" s="118">
        <f t="shared" si="113"/>
        <v>6369</v>
      </c>
      <c r="G917" s="118">
        <v>5875</v>
      </c>
      <c r="H917" s="304">
        <f t="shared" si="114"/>
        <v>6368.5</v>
      </c>
      <c r="I917" s="304">
        <f t="shared" si="115"/>
        <v>6369</v>
      </c>
      <c r="L917" s="195"/>
    </row>
    <row r="918" spans="1:12" customFormat="1" outlineLevel="2" x14ac:dyDescent="0.2">
      <c r="A918" s="214" t="s">
        <v>2673</v>
      </c>
      <c r="B918" s="150" t="s">
        <v>1546</v>
      </c>
      <c r="C918" s="213" t="s">
        <v>2668</v>
      </c>
      <c r="D918" s="118">
        <f t="shared" si="111"/>
        <v>7574.1666666666661</v>
      </c>
      <c r="E918" s="118">
        <f t="shared" si="112"/>
        <v>1514.8333333333335</v>
      </c>
      <c r="F918" s="118">
        <f t="shared" si="113"/>
        <v>9089</v>
      </c>
      <c r="G918" s="118">
        <v>8385</v>
      </c>
      <c r="H918" s="304">
        <f t="shared" si="114"/>
        <v>9089.34</v>
      </c>
      <c r="I918" s="304">
        <f t="shared" si="115"/>
        <v>9089</v>
      </c>
      <c r="L918" s="195"/>
    </row>
    <row r="919" spans="1:12" customFormat="1" outlineLevel="2" x14ac:dyDescent="0.2">
      <c r="A919" s="214" t="s">
        <v>2674</v>
      </c>
      <c r="B919" s="150" t="s">
        <v>1547</v>
      </c>
      <c r="C919" s="213" t="s">
        <v>2668</v>
      </c>
      <c r="D919" s="118">
        <f t="shared" si="111"/>
        <v>9938.3333333333321</v>
      </c>
      <c r="E919" s="118">
        <f t="shared" si="112"/>
        <v>1987.666666666667</v>
      </c>
      <c r="F919" s="118">
        <f t="shared" si="113"/>
        <v>11926</v>
      </c>
      <c r="G919" s="118">
        <v>11002</v>
      </c>
      <c r="H919" s="304">
        <f t="shared" si="114"/>
        <v>11926.168000000001</v>
      </c>
      <c r="I919" s="304">
        <f t="shared" si="115"/>
        <v>11926</v>
      </c>
      <c r="L919" s="195"/>
    </row>
    <row r="920" spans="1:12" customFormat="1" outlineLevel="2" x14ac:dyDescent="0.2">
      <c r="A920" s="214" t="s">
        <v>2675</v>
      </c>
      <c r="B920" s="150" t="s">
        <v>1548</v>
      </c>
      <c r="C920" s="213" t="s">
        <v>2668</v>
      </c>
      <c r="D920" s="118">
        <f t="shared" si="111"/>
        <v>12446.666666666666</v>
      </c>
      <c r="E920" s="118">
        <f t="shared" si="112"/>
        <v>2489.3333333333339</v>
      </c>
      <c r="F920" s="118">
        <f t="shared" si="113"/>
        <v>14936</v>
      </c>
      <c r="G920" s="118">
        <v>13779</v>
      </c>
      <c r="H920" s="304">
        <f t="shared" si="114"/>
        <v>14936.436000000002</v>
      </c>
      <c r="I920" s="304">
        <f t="shared" si="115"/>
        <v>14936</v>
      </c>
      <c r="L920" s="195"/>
    </row>
    <row r="921" spans="1:12" customFormat="1" outlineLevel="2" x14ac:dyDescent="0.2">
      <c r="A921" s="214" t="s">
        <v>2676</v>
      </c>
      <c r="B921" s="150" t="s">
        <v>1549</v>
      </c>
      <c r="C921" s="213" t="s">
        <v>2668</v>
      </c>
      <c r="D921" s="118">
        <f t="shared" si="111"/>
        <v>15148.333333333332</v>
      </c>
      <c r="E921" s="118">
        <f t="shared" si="112"/>
        <v>3029.666666666667</v>
      </c>
      <c r="F921" s="118">
        <f t="shared" si="113"/>
        <v>18178</v>
      </c>
      <c r="G921" s="118">
        <v>16769</v>
      </c>
      <c r="H921" s="304">
        <f t="shared" si="114"/>
        <v>18177.596000000001</v>
      </c>
      <c r="I921" s="304">
        <f t="shared" si="115"/>
        <v>18178</v>
      </c>
      <c r="L921" s="195"/>
    </row>
    <row r="922" spans="1:12" customFormat="1" outlineLevel="1" x14ac:dyDescent="0.2">
      <c r="A922" s="209" t="s">
        <v>1720</v>
      </c>
      <c r="B922" s="26" t="s">
        <v>1705</v>
      </c>
      <c r="C922" s="186" t="s">
        <v>810</v>
      </c>
      <c r="D922" s="118">
        <f t="shared" si="111"/>
        <v>28.333333333333332</v>
      </c>
      <c r="E922" s="118">
        <f t="shared" si="112"/>
        <v>5.6666666666666679</v>
      </c>
      <c r="F922" s="118">
        <f t="shared" si="113"/>
        <v>34</v>
      </c>
      <c r="G922" s="118">
        <v>31</v>
      </c>
      <c r="H922" s="304">
        <f t="shared" si="114"/>
        <v>33.603999999999999</v>
      </c>
      <c r="I922" s="304">
        <f t="shared" si="115"/>
        <v>34</v>
      </c>
      <c r="L922" s="195"/>
    </row>
    <row r="923" spans="1:12" customFormat="1" outlineLevel="1" x14ac:dyDescent="0.2">
      <c r="A923" s="209" t="s">
        <v>1721</v>
      </c>
      <c r="B923" s="26" t="s">
        <v>1728</v>
      </c>
      <c r="C923" s="191" t="s">
        <v>1727</v>
      </c>
      <c r="D923" s="118">
        <f t="shared" si="111"/>
        <v>234.16666666666666</v>
      </c>
      <c r="E923" s="118">
        <f t="shared" si="112"/>
        <v>46.833333333333343</v>
      </c>
      <c r="F923" s="118">
        <f t="shared" si="113"/>
        <v>281</v>
      </c>
      <c r="G923" s="118">
        <v>259</v>
      </c>
      <c r="H923" s="304">
        <f t="shared" si="114"/>
        <v>280.75600000000003</v>
      </c>
      <c r="I923" s="304">
        <f t="shared" si="115"/>
        <v>281</v>
      </c>
      <c r="L923" s="195"/>
    </row>
    <row r="924" spans="1:12" customFormat="1" ht="31.5" outlineLevel="1" x14ac:dyDescent="0.2">
      <c r="A924" s="209" t="s">
        <v>1722</v>
      </c>
      <c r="B924" s="70" t="s">
        <v>1895</v>
      </c>
      <c r="C924" s="213"/>
      <c r="D924" s="118"/>
      <c r="E924" s="118"/>
      <c r="F924" s="118"/>
      <c r="G924" s="123"/>
      <c r="H924" s="304">
        <f t="shared" si="114"/>
        <v>0</v>
      </c>
      <c r="I924" s="304">
        <f t="shared" ref="I924:I927" si="116">ROUND(H924,0)</f>
        <v>0</v>
      </c>
      <c r="L924" s="195"/>
    </row>
    <row r="925" spans="1:12" customFormat="1" ht="25.5" outlineLevel="2" x14ac:dyDescent="0.2">
      <c r="A925" s="216" t="s">
        <v>2677</v>
      </c>
      <c r="B925" s="70" t="s">
        <v>1896</v>
      </c>
      <c r="C925" s="204" t="s">
        <v>1897</v>
      </c>
      <c r="D925" s="118">
        <f t="shared" ref="D925:D928" si="117">F925-E925</f>
        <v>94.166666666666657</v>
      </c>
      <c r="E925" s="118">
        <f t="shared" ref="E925:E928" si="118">F925/1.2*0.2</f>
        <v>18.833333333333336</v>
      </c>
      <c r="F925" s="118">
        <f t="shared" ref="F925:F927" si="119">I925</f>
        <v>113</v>
      </c>
      <c r="G925" s="118">
        <v>104</v>
      </c>
      <c r="H925" s="304">
        <f t="shared" ref="H925:H927" si="120">G925*$H$8</f>
        <v>112.736</v>
      </c>
      <c r="I925" s="304">
        <f t="shared" si="116"/>
        <v>113</v>
      </c>
      <c r="L925" s="195"/>
    </row>
    <row r="926" spans="1:12" customFormat="1" ht="25.5" outlineLevel="2" x14ac:dyDescent="0.2">
      <c r="A926" s="216" t="s">
        <v>2678</v>
      </c>
      <c r="B926" s="70" t="s">
        <v>1898</v>
      </c>
      <c r="C926" s="204" t="s">
        <v>1897</v>
      </c>
      <c r="D926" s="118">
        <f t="shared" si="117"/>
        <v>121.66666666666666</v>
      </c>
      <c r="E926" s="118">
        <f t="shared" si="118"/>
        <v>24.333333333333336</v>
      </c>
      <c r="F926" s="118">
        <f t="shared" si="119"/>
        <v>146</v>
      </c>
      <c r="G926" s="118">
        <v>135</v>
      </c>
      <c r="H926" s="304">
        <f t="shared" si="120"/>
        <v>146.34</v>
      </c>
      <c r="I926" s="304">
        <f t="shared" si="116"/>
        <v>146</v>
      </c>
      <c r="L926" s="195"/>
    </row>
    <row r="927" spans="1:12" customFormat="1" ht="25.5" outlineLevel="2" x14ac:dyDescent="0.2">
      <c r="A927" s="214" t="s">
        <v>2679</v>
      </c>
      <c r="B927" s="70" t="s">
        <v>1899</v>
      </c>
      <c r="C927" s="204" t="s">
        <v>1897</v>
      </c>
      <c r="D927" s="118">
        <f t="shared" si="117"/>
        <v>145.83333333333331</v>
      </c>
      <c r="E927" s="118">
        <f t="shared" si="118"/>
        <v>29.166666666666671</v>
      </c>
      <c r="F927" s="118">
        <f t="shared" si="119"/>
        <v>175</v>
      </c>
      <c r="G927" s="118">
        <v>161</v>
      </c>
      <c r="H927" s="304">
        <f t="shared" si="120"/>
        <v>174.524</v>
      </c>
      <c r="I927" s="304">
        <f t="shared" si="116"/>
        <v>175</v>
      </c>
      <c r="L927" s="195"/>
    </row>
    <row r="928" spans="1:12" customFormat="1" outlineLevel="2" x14ac:dyDescent="0.2">
      <c r="A928" s="214" t="s">
        <v>1723</v>
      </c>
      <c r="B928" s="70" t="s">
        <v>3573</v>
      </c>
      <c r="C928" s="362" t="s">
        <v>3572</v>
      </c>
      <c r="D928" s="118">
        <f t="shared" si="117"/>
        <v>8.3333333333333321</v>
      </c>
      <c r="E928" s="118">
        <f t="shared" si="118"/>
        <v>1.666666666666667</v>
      </c>
      <c r="F928" s="118">
        <v>10</v>
      </c>
      <c r="G928" s="118"/>
      <c r="H928" s="304"/>
      <c r="I928" s="304"/>
      <c r="L928" s="195"/>
    </row>
    <row r="929" spans="1:12" customFormat="1" ht="18.75" x14ac:dyDescent="0.2">
      <c r="A929" s="426" t="s">
        <v>1387</v>
      </c>
      <c r="B929" s="426"/>
      <c r="C929" s="426"/>
      <c r="D929" s="426"/>
      <c r="E929" s="426"/>
      <c r="F929" s="426"/>
      <c r="G929" s="426"/>
      <c r="H929" s="315"/>
      <c r="I929" s="315"/>
      <c r="L929" s="195"/>
    </row>
    <row r="930" spans="1:12" customFormat="1" ht="18.75" x14ac:dyDescent="0.2">
      <c r="A930" s="392" t="s">
        <v>2163</v>
      </c>
      <c r="B930" s="393"/>
      <c r="C930" s="393"/>
      <c r="D930" s="393"/>
      <c r="E930" s="393"/>
      <c r="F930" s="393"/>
      <c r="G930" s="394"/>
      <c r="H930" s="307"/>
      <c r="I930" s="307"/>
      <c r="L930" s="195"/>
    </row>
    <row r="931" spans="1:12" customFormat="1" ht="15.75" customHeight="1" outlineLevel="1" x14ac:dyDescent="0.2">
      <c r="A931" s="215" t="s">
        <v>5</v>
      </c>
      <c r="B931" s="70" t="s">
        <v>544</v>
      </c>
      <c r="C931" s="107" t="s">
        <v>6</v>
      </c>
      <c r="D931" s="118">
        <f t="shared" ref="D931:D947" si="121">F931-E931</f>
        <v>140.83333333333331</v>
      </c>
      <c r="E931" s="118">
        <f t="shared" ref="E931:E947" si="122">F931/1.2*0.2</f>
        <v>28.166666666666671</v>
      </c>
      <c r="F931" s="118">
        <f t="shared" ref="F931:F947" si="123">I931</f>
        <v>169</v>
      </c>
      <c r="G931" s="118">
        <v>156</v>
      </c>
      <c r="H931" s="304">
        <f t="shared" ref="H931:H947" si="124">G931*$H$8</f>
        <v>169.10400000000001</v>
      </c>
      <c r="I931" s="304">
        <f t="shared" ref="I931:I947" si="125">ROUND(H931,0)</f>
        <v>169</v>
      </c>
      <c r="L931" s="195"/>
    </row>
    <row r="932" spans="1:12" customFormat="1" ht="15.75" customHeight="1" outlineLevel="1" x14ac:dyDescent="0.2">
      <c r="A932" s="215" t="s">
        <v>7</v>
      </c>
      <c r="B932" s="70" t="s">
        <v>545</v>
      </c>
      <c r="C932" s="107" t="s">
        <v>6</v>
      </c>
      <c r="D932" s="118">
        <f t="shared" si="121"/>
        <v>113.33333333333333</v>
      </c>
      <c r="E932" s="118">
        <f t="shared" si="122"/>
        <v>22.666666666666671</v>
      </c>
      <c r="F932" s="118">
        <f t="shared" si="123"/>
        <v>136</v>
      </c>
      <c r="G932" s="118">
        <v>125</v>
      </c>
      <c r="H932" s="304">
        <f t="shared" si="124"/>
        <v>135.5</v>
      </c>
      <c r="I932" s="304">
        <f t="shared" si="125"/>
        <v>136</v>
      </c>
      <c r="L932" s="195"/>
    </row>
    <row r="933" spans="1:12" customFormat="1" ht="15.75" customHeight="1" outlineLevel="1" x14ac:dyDescent="0.2">
      <c r="A933" s="215" t="s">
        <v>8</v>
      </c>
      <c r="B933" s="70" t="s">
        <v>551</v>
      </c>
      <c r="C933" s="107" t="s">
        <v>6</v>
      </c>
      <c r="D933" s="118">
        <f t="shared" si="121"/>
        <v>113.33333333333333</v>
      </c>
      <c r="E933" s="118">
        <f t="shared" si="122"/>
        <v>22.666666666666671</v>
      </c>
      <c r="F933" s="118">
        <f t="shared" si="123"/>
        <v>136</v>
      </c>
      <c r="G933" s="118">
        <v>125</v>
      </c>
      <c r="H933" s="304">
        <f t="shared" si="124"/>
        <v>135.5</v>
      </c>
      <c r="I933" s="304">
        <f t="shared" si="125"/>
        <v>136</v>
      </c>
      <c r="L933" s="195"/>
    </row>
    <row r="934" spans="1:12" customFormat="1" ht="15.75" customHeight="1" outlineLevel="1" x14ac:dyDescent="0.2">
      <c r="A934" s="215" t="s">
        <v>9</v>
      </c>
      <c r="B934" s="70" t="s">
        <v>552</v>
      </c>
      <c r="C934" s="107" t="s">
        <v>543</v>
      </c>
      <c r="D934" s="118">
        <f t="shared" si="121"/>
        <v>54.166666666666664</v>
      </c>
      <c r="E934" s="118">
        <f t="shared" si="122"/>
        <v>10.833333333333336</v>
      </c>
      <c r="F934" s="118">
        <f t="shared" si="123"/>
        <v>65</v>
      </c>
      <c r="G934" s="118">
        <v>60</v>
      </c>
      <c r="H934" s="304">
        <f t="shared" si="124"/>
        <v>65.040000000000006</v>
      </c>
      <c r="I934" s="304">
        <f t="shared" si="125"/>
        <v>65</v>
      </c>
      <c r="L934" s="195"/>
    </row>
    <row r="935" spans="1:12" customFormat="1" ht="31.5" outlineLevel="1" x14ac:dyDescent="0.2">
      <c r="A935" s="215" t="s">
        <v>10</v>
      </c>
      <c r="B935" s="70" t="s">
        <v>782</v>
      </c>
      <c r="C935" s="107" t="s">
        <v>543</v>
      </c>
      <c r="D935" s="118">
        <f t="shared" si="121"/>
        <v>140.83333333333331</v>
      </c>
      <c r="E935" s="118">
        <f t="shared" si="122"/>
        <v>28.166666666666671</v>
      </c>
      <c r="F935" s="118">
        <f t="shared" si="123"/>
        <v>169</v>
      </c>
      <c r="G935" s="118">
        <v>156</v>
      </c>
      <c r="H935" s="304">
        <f t="shared" si="124"/>
        <v>169.10400000000001</v>
      </c>
      <c r="I935" s="304">
        <f t="shared" si="125"/>
        <v>169</v>
      </c>
      <c r="L935" s="195"/>
    </row>
    <row r="936" spans="1:12" customFormat="1" ht="15.75" customHeight="1" outlineLevel="1" x14ac:dyDescent="0.2">
      <c r="A936" s="215" t="s">
        <v>11</v>
      </c>
      <c r="B936" s="70" t="s">
        <v>554</v>
      </c>
      <c r="C936" s="107" t="s">
        <v>6</v>
      </c>
      <c r="D936" s="118">
        <f t="shared" si="121"/>
        <v>140.83333333333331</v>
      </c>
      <c r="E936" s="118">
        <f t="shared" si="122"/>
        <v>28.166666666666671</v>
      </c>
      <c r="F936" s="118">
        <f t="shared" si="123"/>
        <v>169</v>
      </c>
      <c r="G936" s="118">
        <v>156</v>
      </c>
      <c r="H936" s="304">
        <f t="shared" si="124"/>
        <v>169.10400000000001</v>
      </c>
      <c r="I936" s="304">
        <f t="shared" si="125"/>
        <v>169</v>
      </c>
      <c r="L936" s="195"/>
    </row>
    <row r="937" spans="1:12" customFormat="1" ht="15.75" customHeight="1" outlineLevel="1" x14ac:dyDescent="0.2">
      <c r="A937" s="215" t="s">
        <v>12</v>
      </c>
      <c r="B937" s="70" t="s">
        <v>546</v>
      </c>
      <c r="C937" s="107"/>
      <c r="D937" s="118">
        <f t="shared" si="121"/>
        <v>0</v>
      </c>
      <c r="E937" s="118">
        <f t="shared" si="122"/>
        <v>0</v>
      </c>
      <c r="F937" s="118">
        <f t="shared" si="123"/>
        <v>0</v>
      </c>
      <c r="G937" s="118"/>
      <c r="H937" s="304">
        <f t="shared" si="124"/>
        <v>0</v>
      </c>
      <c r="I937" s="304">
        <f t="shared" si="125"/>
        <v>0</v>
      </c>
      <c r="L937" s="195"/>
    </row>
    <row r="938" spans="1:12" customFormat="1" ht="18" customHeight="1" outlineLevel="2" x14ac:dyDescent="0.2">
      <c r="A938" s="215" t="s">
        <v>2689</v>
      </c>
      <c r="B938" s="70" t="s">
        <v>547</v>
      </c>
      <c r="C938" s="107" t="s">
        <v>6</v>
      </c>
      <c r="D938" s="118">
        <f t="shared" si="121"/>
        <v>282.5</v>
      </c>
      <c r="E938" s="118">
        <f t="shared" si="122"/>
        <v>56.5</v>
      </c>
      <c r="F938" s="118">
        <f t="shared" si="123"/>
        <v>339</v>
      </c>
      <c r="G938" s="118">
        <v>313</v>
      </c>
      <c r="H938" s="304">
        <f t="shared" si="124"/>
        <v>339.29200000000003</v>
      </c>
      <c r="I938" s="304">
        <f t="shared" si="125"/>
        <v>339</v>
      </c>
      <c r="L938" s="195"/>
    </row>
    <row r="939" spans="1:12" customFormat="1" ht="15.75" customHeight="1" outlineLevel="2" x14ac:dyDescent="0.2">
      <c r="A939" s="215" t="s">
        <v>2690</v>
      </c>
      <c r="B939" s="70" t="s">
        <v>2745</v>
      </c>
      <c r="C939" s="107" t="s">
        <v>549</v>
      </c>
      <c r="D939" s="118">
        <f t="shared" si="121"/>
        <v>214.16666666666666</v>
      </c>
      <c r="E939" s="118">
        <f t="shared" si="122"/>
        <v>42.833333333333343</v>
      </c>
      <c r="F939" s="118">
        <f t="shared" si="123"/>
        <v>257</v>
      </c>
      <c r="G939" s="118">
        <v>237</v>
      </c>
      <c r="H939" s="304">
        <f t="shared" si="124"/>
        <v>256.90800000000002</v>
      </c>
      <c r="I939" s="304">
        <f t="shared" si="125"/>
        <v>257</v>
      </c>
      <c r="L939" s="195"/>
    </row>
    <row r="940" spans="1:12" customFormat="1" ht="15.75" customHeight="1" outlineLevel="2" x14ac:dyDescent="0.2">
      <c r="A940" s="215" t="s">
        <v>2691</v>
      </c>
      <c r="B940" s="70" t="s">
        <v>550</v>
      </c>
      <c r="C940" s="107" t="s">
        <v>549</v>
      </c>
      <c r="D940" s="118">
        <f t="shared" si="121"/>
        <v>251.66666666666666</v>
      </c>
      <c r="E940" s="118">
        <f t="shared" si="122"/>
        <v>50.333333333333343</v>
      </c>
      <c r="F940" s="118">
        <f t="shared" si="123"/>
        <v>302</v>
      </c>
      <c r="G940" s="118">
        <v>279</v>
      </c>
      <c r="H940" s="304">
        <f t="shared" si="124"/>
        <v>302.43600000000004</v>
      </c>
      <c r="I940" s="304">
        <f t="shared" si="125"/>
        <v>302</v>
      </c>
      <c r="L940" s="195"/>
    </row>
    <row r="941" spans="1:12" customFormat="1" ht="31.5" customHeight="1" outlineLevel="1" x14ac:dyDescent="0.2">
      <c r="A941" s="215" t="s">
        <v>13</v>
      </c>
      <c r="B941" s="70" t="s">
        <v>553</v>
      </c>
      <c r="C941" s="107" t="s">
        <v>549</v>
      </c>
      <c r="D941" s="118">
        <f t="shared" si="121"/>
        <v>169.16666666666666</v>
      </c>
      <c r="E941" s="118">
        <f t="shared" si="122"/>
        <v>33.833333333333336</v>
      </c>
      <c r="F941" s="118">
        <f t="shared" si="123"/>
        <v>203</v>
      </c>
      <c r="G941" s="118">
        <v>187</v>
      </c>
      <c r="H941" s="304">
        <f t="shared" si="124"/>
        <v>202.70800000000003</v>
      </c>
      <c r="I941" s="304">
        <f t="shared" si="125"/>
        <v>203</v>
      </c>
      <c r="L941" s="195"/>
    </row>
    <row r="942" spans="1:12" customFormat="1" ht="15.75" customHeight="1" outlineLevel="1" x14ac:dyDescent="0.2">
      <c r="A942" s="215" t="s">
        <v>14</v>
      </c>
      <c r="B942" s="70" t="s">
        <v>555</v>
      </c>
      <c r="C942" s="107" t="s">
        <v>6</v>
      </c>
      <c r="D942" s="118">
        <f t="shared" si="121"/>
        <v>282.5</v>
      </c>
      <c r="E942" s="118">
        <f t="shared" si="122"/>
        <v>56.5</v>
      </c>
      <c r="F942" s="118">
        <f t="shared" si="123"/>
        <v>339</v>
      </c>
      <c r="G942" s="118">
        <v>313</v>
      </c>
      <c r="H942" s="304">
        <f t="shared" si="124"/>
        <v>339.29200000000003</v>
      </c>
      <c r="I942" s="304">
        <f t="shared" si="125"/>
        <v>339</v>
      </c>
      <c r="L942" s="195"/>
    </row>
    <row r="943" spans="1:12" customFormat="1" ht="15.75" customHeight="1" outlineLevel="1" x14ac:dyDescent="0.2">
      <c r="A943" s="215" t="s">
        <v>409</v>
      </c>
      <c r="B943" s="70" t="s">
        <v>1664</v>
      </c>
      <c r="C943" s="107" t="s">
        <v>549</v>
      </c>
      <c r="D943" s="118">
        <f t="shared" si="121"/>
        <v>85</v>
      </c>
      <c r="E943" s="118">
        <f t="shared" si="122"/>
        <v>17</v>
      </c>
      <c r="F943" s="118">
        <f t="shared" si="123"/>
        <v>102</v>
      </c>
      <c r="G943" s="118">
        <v>94</v>
      </c>
      <c r="H943" s="304">
        <f t="shared" si="124"/>
        <v>101.896</v>
      </c>
      <c r="I943" s="304">
        <f t="shared" si="125"/>
        <v>102</v>
      </c>
      <c r="L943" s="195"/>
    </row>
    <row r="944" spans="1:12" customFormat="1" outlineLevel="1" x14ac:dyDescent="0.2">
      <c r="A944" s="215" t="s">
        <v>15</v>
      </c>
      <c r="B944" s="70" t="s">
        <v>764</v>
      </c>
      <c r="C944" s="107" t="s">
        <v>6</v>
      </c>
      <c r="D944" s="118">
        <f t="shared" si="121"/>
        <v>197.5</v>
      </c>
      <c r="E944" s="118">
        <f t="shared" si="122"/>
        <v>39.5</v>
      </c>
      <c r="F944" s="118">
        <f t="shared" si="123"/>
        <v>237</v>
      </c>
      <c r="G944" s="118">
        <v>219</v>
      </c>
      <c r="H944" s="304">
        <f t="shared" si="124"/>
        <v>237.39600000000002</v>
      </c>
      <c r="I944" s="304">
        <f t="shared" si="125"/>
        <v>237</v>
      </c>
      <c r="L944" s="195"/>
    </row>
    <row r="945" spans="1:12" customFormat="1" outlineLevel="1" x14ac:dyDescent="0.2">
      <c r="A945" s="215" t="s">
        <v>17</v>
      </c>
      <c r="B945" s="145" t="s">
        <v>1459</v>
      </c>
      <c r="C945" s="87" t="s">
        <v>487</v>
      </c>
      <c r="D945" s="118">
        <f t="shared" si="121"/>
        <v>327.5</v>
      </c>
      <c r="E945" s="118">
        <f t="shared" si="122"/>
        <v>65.5</v>
      </c>
      <c r="F945" s="118">
        <f t="shared" si="123"/>
        <v>393</v>
      </c>
      <c r="G945" s="118">
        <v>363</v>
      </c>
      <c r="H945" s="304">
        <f t="shared" si="124"/>
        <v>393.49200000000002</v>
      </c>
      <c r="I945" s="304">
        <f t="shared" si="125"/>
        <v>393</v>
      </c>
      <c r="L945" s="195"/>
    </row>
    <row r="946" spans="1:12" customFormat="1" outlineLevel="1" x14ac:dyDescent="0.2">
      <c r="A946" s="215" t="s">
        <v>18</v>
      </c>
      <c r="B946" s="70" t="s">
        <v>1572</v>
      </c>
      <c r="C946" s="156" t="s">
        <v>543</v>
      </c>
      <c r="D946" s="118">
        <f t="shared" si="121"/>
        <v>267.5</v>
      </c>
      <c r="E946" s="118">
        <f t="shared" si="122"/>
        <v>53.5</v>
      </c>
      <c r="F946" s="118">
        <f t="shared" si="123"/>
        <v>321</v>
      </c>
      <c r="G946" s="118">
        <v>296</v>
      </c>
      <c r="H946" s="304">
        <f t="shared" si="124"/>
        <v>320.86400000000003</v>
      </c>
      <c r="I946" s="304">
        <f t="shared" si="125"/>
        <v>321</v>
      </c>
      <c r="L946" s="195"/>
    </row>
    <row r="947" spans="1:12" customFormat="1" ht="31.5" outlineLevel="1" x14ac:dyDescent="0.2">
      <c r="A947" s="215" t="s">
        <v>19</v>
      </c>
      <c r="B947" s="145" t="s">
        <v>1656</v>
      </c>
      <c r="C947" s="183" t="s">
        <v>549</v>
      </c>
      <c r="D947" s="118">
        <f t="shared" si="121"/>
        <v>205.83333333333331</v>
      </c>
      <c r="E947" s="118">
        <f t="shared" si="122"/>
        <v>41.166666666666671</v>
      </c>
      <c r="F947" s="118">
        <f t="shared" si="123"/>
        <v>247</v>
      </c>
      <c r="G947" s="118">
        <v>228</v>
      </c>
      <c r="H947" s="304">
        <f t="shared" si="124"/>
        <v>247.15200000000002</v>
      </c>
      <c r="I947" s="304">
        <f t="shared" si="125"/>
        <v>247</v>
      </c>
      <c r="L947" s="195"/>
    </row>
    <row r="948" spans="1:12" customFormat="1" ht="18.75" x14ac:dyDescent="0.2">
      <c r="A948" s="392" t="s">
        <v>2164</v>
      </c>
      <c r="B948" s="393"/>
      <c r="C948" s="393"/>
      <c r="D948" s="393"/>
      <c r="E948" s="393"/>
      <c r="F948" s="393"/>
      <c r="G948" s="394"/>
      <c r="H948" s="307"/>
      <c r="I948" s="307"/>
      <c r="L948" s="195"/>
    </row>
    <row r="949" spans="1:12" customFormat="1" ht="15.75" customHeight="1" outlineLevel="1" x14ac:dyDescent="0.2">
      <c r="A949" s="209" t="s">
        <v>30</v>
      </c>
      <c r="B949" s="70" t="s">
        <v>1199</v>
      </c>
      <c r="C949" s="96" t="s">
        <v>549</v>
      </c>
      <c r="D949" s="118">
        <f t="shared" ref="D949:D954" si="126">F949-E949</f>
        <v>89.166666666666657</v>
      </c>
      <c r="E949" s="118">
        <f t="shared" ref="E949:E954" si="127">F949/1.2*0.2</f>
        <v>17.833333333333336</v>
      </c>
      <c r="F949" s="118">
        <f t="shared" ref="F949:F954" si="128">I949</f>
        <v>107</v>
      </c>
      <c r="G949" s="123">
        <v>99</v>
      </c>
      <c r="H949" s="304">
        <f t="shared" ref="H949:H954" si="129">G949*$H$8</f>
        <v>107.316</v>
      </c>
      <c r="I949" s="304">
        <f t="shared" ref="I949:I954" si="130">ROUND(H949,0)</f>
        <v>107</v>
      </c>
      <c r="L949" s="195"/>
    </row>
    <row r="950" spans="1:12" customFormat="1" outlineLevel="1" x14ac:dyDescent="0.2">
      <c r="A950" s="209" t="s">
        <v>31</v>
      </c>
      <c r="B950" s="70" t="s">
        <v>1200</v>
      </c>
      <c r="C950" s="96" t="s">
        <v>549</v>
      </c>
      <c r="D950" s="118">
        <f t="shared" si="126"/>
        <v>298.33333333333331</v>
      </c>
      <c r="E950" s="118">
        <f t="shared" si="127"/>
        <v>59.666666666666679</v>
      </c>
      <c r="F950" s="118">
        <f t="shared" si="128"/>
        <v>358</v>
      </c>
      <c r="G950" s="123">
        <v>330</v>
      </c>
      <c r="H950" s="304">
        <f t="shared" si="129"/>
        <v>357.72</v>
      </c>
      <c r="I950" s="304">
        <f t="shared" si="130"/>
        <v>358</v>
      </c>
      <c r="L950" s="195"/>
    </row>
    <row r="951" spans="1:12" customFormat="1" outlineLevel="1" x14ac:dyDescent="0.2">
      <c r="A951" s="209" t="s">
        <v>32</v>
      </c>
      <c r="B951" s="70" t="s">
        <v>1201</v>
      </c>
      <c r="C951" s="96" t="s">
        <v>549</v>
      </c>
      <c r="D951" s="118">
        <f t="shared" si="126"/>
        <v>187.5</v>
      </c>
      <c r="E951" s="118">
        <f t="shared" si="127"/>
        <v>37.5</v>
      </c>
      <c r="F951" s="118">
        <f t="shared" si="128"/>
        <v>225</v>
      </c>
      <c r="G951" s="123">
        <v>208</v>
      </c>
      <c r="H951" s="304">
        <f t="shared" si="129"/>
        <v>225.47200000000001</v>
      </c>
      <c r="I951" s="304">
        <f t="shared" si="130"/>
        <v>225</v>
      </c>
      <c r="L951" s="195"/>
    </row>
    <row r="952" spans="1:12" customFormat="1" outlineLevel="1" x14ac:dyDescent="0.2">
      <c r="A952" s="209" t="s">
        <v>33</v>
      </c>
      <c r="B952" s="70" t="s">
        <v>1202</v>
      </c>
      <c r="C952" s="96" t="s">
        <v>549</v>
      </c>
      <c r="D952" s="118">
        <f t="shared" si="126"/>
        <v>298.33333333333331</v>
      </c>
      <c r="E952" s="118">
        <f t="shared" si="127"/>
        <v>59.666666666666679</v>
      </c>
      <c r="F952" s="118">
        <f t="shared" si="128"/>
        <v>358</v>
      </c>
      <c r="G952" s="123">
        <v>330</v>
      </c>
      <c r="H952" s="304">
        <f t="shared" si="129"/>
        <v>357.72</v>
      </c>
      <c r="I952" s="304">
        <f t="shared" si="130"/>
        <v>358</v>
      </c>
      <c r="L952" s="195"/>
    </row>
    <row r="953" spans="1:12" customFormat="1" outlineLevel="1" x14ac:dyDescent="0.2">
      <c r="A953" s="209" t="s">
        <v>1925</v>
      </c>
      <c r="B953" s="70" t="s">
        <v>1203</v>
      </c>
      <c r="C953" s="96" t="s">
        <v>549</v>
      </c>
      <c r="D953" s="118">
        <f t="shared" si="126"/>
        <v>239.16666666666666</v>
      </c>
      <c r="E953" s="118">
        <f t="shared" si="127"/>
        <v>47.833333333333343</v>
      </c>
      <c r="F953" s="118">
        <f t="shared" si="128"/>
        <v>287</v>
      </c>
      <c r="G953" s="123">
        <v>265</v>
      </c>
      <c r="H953" s="304">
        <f t="shared" si="129"/>
        <v>287.26000000000005</v>
      </c>
      <c r="I953" s="304">
        <f t="shared" si="130"/>
        <v>287</v>
      </c>
      <c r="L953" s="195"/>
    </row>
    <row r="954" spans="1:12" customFormat="1" outlineLevel="1" x14ac:dyDescent="0.2">
      <c r="A954" s="209" t="s">
        <v>1926</v>
      </c>
      <c r="B954" s="70" t="s">
        <v>1204</v>
      </c>
      <c r="C954" s="96" t="s">
        <v>549</v>
      </c>
      <c r="D954" s="118">
        <f t="shared" si="126"/>
        <v>256.66666666666663</v>
      </c>
      <c r="E954" s="118">
        <f t="shared" si="127"/>
        <v>51.333333333333343</v>
      </c>
      <c r="F954" s="118">
        <f t="shared" si="128"/>
        <v>308</v>
      </c>
      <c r="G954" s="123">
        <v>284</v>
      </c>
      <c r="H954" s="304">
        <f t="shared" si="129"/>
        <v>307.85599999999999</v>
      </c>
      <c r="I954" s="304">
        <f t="shared" si="130"/>
        <v>308</v>
      </c>
      <c r="L954" s="195"/>
    </row>
    <row r="955" spans="1:12" customFormat="1" ht="18.75" x14ac:dyDescent="0.2">
      <c r="A955" s="392" t="s">
        <v>2165</v>
      </c>
      <c r="B955" s="393"/>
      <c r="C955" s="393"/>
      <c r="D955" s="393"/>
      <c r="E955" s="393"/>
      <c r="F955" s="393"/>
      <c r="G955" s="394"/>
      <c r="H955" s="307"/>
      <c r="I955" s="307"/>
      <c r="L955" s="195"/>
    </row>
    <row r="956" spans="1:12" customFormat="1" outlineLevel="1" x14ac:dyDescent="0.2">
      <c r="A956" s="209" t="s">
        <v>235</v>
      </c>
      <c r="B956" s="70" t="s">
        <v>225</v>
      </c>
      <c r="C956" s="97" t="s">
        <v>6</v>
      </c>
      <c r="D956" s="118">
        <f t="shared" ref="D956:D957" si="131">F956-E956</f>
        <v>361.66666666666663</v>
      </c>
      <c r="E956" s="118">
        <f t="shared" ref="E956:E957" si="132">F956/1.2*0.2</f>
        <v>72.333333333333343</v>
      </c>
      <c r="F956" s="118">
        <f t="shared" ref="F956:F957" si="133">I956</f>
        <v>434</v>
      </c>
      <c r="G956" s="123">
        <v>400</v>
      </c>
      <c r="H956" s="304">
        <f t="shared" ref="H956:H957" si="134">G956*$H$8</f>
        <v>433.6</v>
      </c>
      <c r="I956" s="304">
        <f t="shared" ref="I956:I957" si="135">ROUND(H956,0)</f>
        <v>434</v>
      </c>
      <c r="L956" s="195"/>
    </row>
    <row r="957" spans="1:12" customFormat="1" outlineLevel="1" x14ac:dyDescent="0.2">
      <c r="A957" s="209" t="s">
        <v>39</v>
      </c>
      <c r="B957" s="70" t="s">
        <v>2159</v>
      </c>
      <c r="C957" s="97" t="s">
        <v>6</v>
      </c>
      <c r="D957" s="118">
        <f t="shared" si="131"/>
        <v>326.66666666666663</v>
      </c>
      <c r="E957" s="118">
        <f t="shared" si="132"/>
        <v>65.333333333333343</v>
      </c>
      <c r="F957" s="118">
        <f t="shared" si="133"/>
        <v>392</v>
      </c>
      <c r="G957" s="123">
        <v>362</v>
      </c>
      <c r="H957" s="304">
        <f t="shared" si="134"/>
        <v>392.40800000000002</v>
      </c>
      <c r="I957" s="304">
        <f t="shared" si="135"/>
        <v>392</v>
      </c>
      <c r="L957" s="195"/>
    </row>
    <row r="958" spans="1:12" customFormat="1" ht="18.75" x14ac:dyDescent="0.2">
      <c r="A958" s="392" t="s">
        <v>2166</v>
      </c>
      <c r="B958" s="393"/>
      <c r="C958" s="393"/>
      <c r="D958" s="393"/>
      <c r="E958" s="393"/>
      <c r="F958" s="393"/>
      <c r="G958" s="394"/>
      <c r="H958" s="307"/>
      <c r="I958" s="307"/>
      <c r="L958" s="195"/>
    </row>
    <row r="959" spans="1:12" customFormat="1" outlineLevel="2" x14ac:dyDescent="0.2">
      <c r="A959" s="209" t="s">
        <v>164</v>
      </c>
      <c r="B959" s="70" t="s">
        <v>240</v>
      </c>
      <c r="C959" s="98" t="s">
        <v>6</v>
      </c>
      <c r="D959" s="118">
        <f t="shared" ref="D959:D961" si="136">F959-E959</f>
        <v>150.83333333333331</v>
      </c>
      <c r="E959" s="118">
        <f t="shared" ref="E959:E961" si="137">F959/1.2*0.2</f>
        <v>30.166666666666671</v>
      </c>
      <c r="F959" s="118">
        <f t="shared" ref="F959:F961" si="138">I959</f>
        <v>181</v>
      </c>
      <c r="G959" s="123">
        <v>167</v>
      </c>
      <c r="H959" s="304">
        <f t="shared" ref="H959:H961" si="139">G959*$H$8</f>
        <v>181.02800000000002</v>
      </c>
      <c r="I959" s="304">
        <f t="shared" ref="I959:I961" si="140">ROUND(H959,0)</f>
        <v>181</v>
      </c>
      <c r="L959" s="195"/>
    </row>
    <row r="960" spans="1:12" customFormat="1" outlineLevel="2" x14ac:dyDescent="0.2">
      <c r="A960" s="209" t="s">
        <v>283</v>
      </c>
      <c r="B960" s="70" t="s">
        <v>241</v>
      </c>
      <c r="C960" s="98" t="s">
        <v>6</v>
      </c>
      <c r="D960" s="118">
        <f t="shared" si="136"/>
        <v>251.66666666666666</v>
      </c>
      <c r="E960" s="118">
        <f t="shared" si="137"/>
        <v>50.333333333333343</v>
      </c>
      <c r="F960" s="118">
        <f t="shared" si="138"/>
        <v>302</v>
      </c>
      <c r="G960" s="123">
        <v>279</v>
      </c>
      <c r="H960" s="304">
        <f t="shared" si="139"/>
        <v>302.43600000000004</v>
      </c>
      <c r="I960" s="304">
        <f t="shared" si="140"/>
        <v>302</v>
      </c>
      <c r="L960" s="195"/>
    </row>
    <row r="961" spans="1:12" customFormat="1" outlineLevel="2" x14ac:dyDescent="0.2">
      <c r="A961" s="209" t="s">
        <v>73</v>
      </c>
      <c r="B961" s="70" t="s">
        <v>289</v>
      </c>
      <c r="C961" s="98" t="s">
        <v>6</v>
      </c>
      <c r="D961" s="118">
        <f t="shared" si="136"/>
        <v>221.66666666666666</v>
      </c>
      <c r="E961" s="118">
        <f t="shared" si="137"/>
        <v>44.333333333333343</v>
      </c>
      <c r="F961" s="118">
        <f t="shared" si="138"/>
        <v>266</v>
      </c>
      <c r="G961" s="123">
        <v>245</v>
      </c>
      <c r="H961" s="304">
        <f t="shared" si="139"/>
        <v>265.58000000000004</v>
      </c>
      <c r="I961" s="304">
        <f t="shared" si="140"/>
        <v>266</v>
      </c>
      <c r="L961" s="195"/>
    </row>
    <row r="962" spans="1:12" customFormat="1" ht="18.75" x14ac:dyDescent="0.2">
      <c r="A962" s="392" t="s">
        <v>2167</v>
      </c>
      <c r="B962" s="393"/>
      <c r="C962" s="393"/>
      <c r="D962" s="393"/>
      <c r="E962" s="393"/>
      <c r="F962" s="393"/>
      <c r="G962" s="394"/>
      <c r="H962" s="307"/>
      <c r="I962" s="307"/>
      <c r="L962" s="195"/>
    </row>
    <row r="963" spans="1:12" customFormat="1" outlineLevel="1" x14ac:dyDescent="0.2">
      <c r="A963" s="25" t="s">
        <v>84</v>
      </c>
      <c r="B963" s="70" t="s">
        <v>1207</v>
      </c>
      <c r="C963" s="97" t="s">
        <v>6</v>
      </c>
      <c r="D963" s="118">
        <f t="shared" ref="D963:D964" si="141">F963-E963</f>
        <v>482.5</v>
      </c>
      <c r="E963" s="118">
        <f t="shared" ref="E963:E964" si="142">F963/1.2*0.2</f>
        <v>96.5</v>
      </c>
      <c r="F963" s="118">
        <f t="shared" ref="F963:F964" si="143">I963</f>
        <v>579</v>
      </c>
      <c r="G963" s="123">
        <v>534</v>
      </c>
      <c r="H963" s="304">
        <f t="shared" ref="H963:H964" si="144">G963*$H$8</f>
        <v>578.85599999999999</v>
      </c>
      <c r="I963" s="304">
        <f t="shared" ref="I963:I964" si="145">ROUND(H963,0)</f>
        <v>579</v>
      </c>
      <c r="L963" s="195"/>
    </row>
    <row r="964" spans="1:12" customFormat="1" outlineLevel="1" x14ac:dyDescent="0.2">
      <c r="A964" s="25" t="s">
        <v>259</v>
      </c>
      <c r="B964" s="70" t="s">
        <v>1208</v>
      </c>
      <c r="C964" s="97" t="s">
        <v>6</v>
      </c>
      <c r="D964" s="118">
        <f t="shared" si="141"/>
        <v>482.5</v>
      </c>
      <c r="E964" s="118">
        <f t="shared" si="142"/>
        <v>96.5</v>
      </c>
      <c r="F964" s="118">
        <f t="shared" si="143"/>
        <v>579</v>
      </c>
      <c r="G964" s="123">
        <v>534</v>
      </c>
      <c r="H964" s="304">
        <f t="shared" si="144"/>
        <v>578.85599999999999</v>
      </c>
      <c r="I964" s="304">
        <f t="shared" si="145"/>
        <v>579</v>
      </c>
      <c r="L964" s="195"/>
    </row>
    <row r="965" spans="1:12" customFormat="1" ht="18.75" x14ac:dyDescent="0.2">
      <c r="A965" s="427" t="s">
        <v>2168</v>
      </c>
      <c r="B965" s="428"/>
      <c r="C965" s="428"/>
      <c r="D965" s="428"/>
      <c r="E965" s="428"/>
      <c r="F965" s="428"/>
      <c r="G965" s="429"/>
      <c r="H965" s="307"/>
      <c r="I965" s="307"/>
      <c r="L965" s="195"/>
    </row>
    <row r="966" spans="1:12" customFormat="1" ht="31.5" customHeight="1" x14ac:dyDescent="0.2">
      <c r="A966" s="439" t="s">
        <v>1902</v>
      </c>
      <c r="B966" s="440"/>
      <c r="C966" s="440"/>
      <c r="D966" s="440"/>
      <c r="E966" s="440"/>
      <c r="F966" s="440"/>
      <c r="G966" s="441"/>
      <c r="H966" s="317"/>
      <c r="I966" s="317"/>
      <c r="L966" s="195"/>
    </row>
    <row r="967" spans="1:12" customFormat="1" ht="47.25" outlineLevel="1" x14ac:dyDescent="0.2">
      <c r="A967" s="25" t="s">
        <v>91</v>
      </c>
      <c r="B967" s="145" t="s">
        <v>1554</v>
      </c>
      <c r="C967" s="97" t="s">
        <v>6</v>
      </c>
      <c r="D967" s="118">
        <f t="shared" ref="D967:D993" si="146">F967-E967</f>
        <v>2295</v>
      </c>
      <c r="E967" s="118">
        <f t="shared" ref="E967:E993" si="147">F967/1.2*0.2</f>
        <v>459</v>
      </c>
      <c r="F967" s="118">
        <f t="shared" ref="F967:F993" si="148">I967</f>
        <v>2754</v>
      </c>
      <c r="G967" s="123">
        <v>2541</v>
      </c>
      <c r="H967" s="304">
        <f t="shared" ref="H967:H993" si="149">G967*$H$8</f>
        <v>2754.4440000000004</v>
      </c>
      <c r="I967" s="304">
        <f t="shared" ref="I967:I993" si="150">ROUND(H967,0)</f>
        <v>2754</v>
      </c>
      <c r="L967" s="195"/>
    </row>
    <row r="968" spans="1:12" customFormat="1" ht="47.25" outlineLevel="1" x14ac:dyDescent="0.2">
      <c r="A968" s="25" t="s">
        <v>93</v>
      </c>
      <c r="B968" s="145" t="s">
        <v>1550</v>
      </c>
      <c r="C968" s="97" t="s">
        <v>6</v>
      </c>
      <c r="D968" s="118">
        <f t="shared" si="146"/>
        <v>2777.5</v>
      </c>
      <c r="E968" s="118">
        <f t="shared" si="147"/>
        <v>555.5</v>
      </c>
      <c r="F968" s="118">
        <f>I968+73</f>
        <v>3333</v>
      </c>
      <c r="G968" s="123">
        <v>3007</v>
      </c>
      <c r="H968" s="304">
        <f t="shared" si="149"/>
        <v>3259.5880000000002</v>
      </c>
      <c r="I968" s="304">
        <f t="shared" si="150"/>
        <v>3260</v>
      </c>
      <c r="L968" s="195"/>
    </row>
    <row r="969" spans="1:12" customFormat="1" ht="47.25" outlineLevel="1" x14ac:dyDescent="0.2">
      <c r="A969" s="25" t="s">
        <v>94</v>
      </c>
      <c r="B969" s="145" t="s">
        <v>2712</v>
      </c>
      <c r="C969" s="97" t="s">
        <v>6</v>
      </c>
      <c r="D969" s="118">
        <f t="shared" si="146"/>
        <v>1804.1666666666665</v>
      </c>
      <c r="E969" s="118">
        <f t="shared" si="147"/>
        <v>360.83333333333337</v>
      </c>
      <c r="F969" s="118">
        <f>I969+73</f>
        <v>2165</v>
      </c>
      <c r="G969" s="123">
        <v>1930</v>
      </c>
      <c r="H969" s="304">
        <f t="shared" si="149"/>
        <v>2092.1200000000003</v>
      </c>
      <c r="I969" s="304">
        <f t="shared" si="150"/>
        <v>2092</v>
      </c>
      <c r="L969" s="195"/>
    </row>
    <row r="970" spans="1:12" customFormat="1" ht="31.5" outlineLevel="1" x14ac:dyDescent="0.2">
      <c r="A970" s="25" t="s">
        <v>284</v>
      </c>
      <c r="B970" s="145" t="s">
        <v>1551</v>
      </c>
      <c r="C970" s="97" t="s">
        <v>6</v>
      </c>
      <c r="D970" s="118">
        <f t="shared" si="146"/>
        <v>1236.6666666666665</v>
      </c>
      <c r="E970" s="118">
        <f t="shared" si="147"/>
        <v>247.33333333333337</v>
      </c>
      <c r="F970" s="118">
        <f>I970+46</f>
        <v>1484</v>
      </c>
      <c r="G970" s="123">
        <v>1327</v>
      </c>
      <c r="H970" s="304">
        <f t="shared" si="149"/>
        <v>1438.4680000000001</v>
      </c>
      <c r="I970" s="304">
        <f t="shared" si="150"/>
        <v>1438</v>
      </c>
      <c r="L970" s="195"/>
    </row>
    <row r="971" spans="1:12" customFormat="1" ht="31.5" outlineLevel="1" x14ac:dyDescent="0.2">
      <c r="A971" s="25" t="s">
        <v>218</v>
      </c>
      <c r="B971" s="145" t="s">
        <v>2713</v>
      </c>
      <c r="C971" s="97" t="s">
        <v>6</v>
      </c>
      <c r="D971" s="118">
        <f t="shared" si="146"/>
        <v>1368.3333333333333</v>
      </c>
      <c r="E971" s="118">
        <f t="shared" si="147"/>
        <v>273.66666666666669</v>
      </c>
      <c r="F971" s="118">
        <f t="shared" si="148"/>
        <v>1642</v>
      </c>
      <c r="G971" s="123">
        <v>1515</v>
      </c>
      <c r="H971" s="304">
        <f t="shared" si="149"/>
        <v>1642.2600000000002</v>
      </c>
      <c r="I971" s="304">
        <f t="shared" si="150"/>
        <v>1642</v>
      </c>
      <c r="L971" s="195"/>
    </row>
    <row r="972" spans="1:12" customFormat="1" outlineLevel="1" x14ac:dyDescent="0.2">
      <c r="A972" s="25" t="s">
        <v>1583</v>
      </c>
      <c r="B972" s="145" t="s">
        <v>1552</v>
      </c>
      <c r="C972" s="97" t="s">
        <v>6</v>
      </c>
      <c r="D972" s="118">
        <f t="shared" si="146"/>
        <v>1077.5</v>
      </c>
      <c r="E972" s="118">
        <f t="shared" si="147"/>
        <v>215.5</v>
      </c>
      <c r="F972" s="118">
        <f t="shared" si="148"/>
        <v>1293</v>
      </c>
      <c r="G972" s="123">
        <v>1193</v>
      </c>
      <c r="H972" s="304">
        <f t="shared" si="149"/>
        <v>1293.212</v>
      </c>
      <c r="I972" s="304">
        <f t="shared" si="150"/>
        <v>1293</v>
      </c>
      <c r="L972" s="195"/>
    </row>
    <row r="973" spans="1:12" customFormat="1" outlineLevel="1" x14ac:dyDescent="0.2">
      <c r="A973" s="25" t="s">
        <v>1671</v>
      </c>
      <c r="B973" s="145" t="s">
        <v>1553</v>
      </c>
      <c r="C973" s="97" t="s">
        <v>6</v>
      </c>
      <c r="D973" s="118">
        <f t="shared" si="146"/>
        <v>623.33333333333326</v>
      </c>
      <c r="E973" s="118">
        <f t="shared" si="147"/>
        <v>124.66666666666669</v>
      </c>
      <c r="F973" s="118">
        <f t="shared" si="148"/>
        <v>748</v>
      </c>
      <c r="G973" s="123">
        <v>690</v>
      </c>
      <c r="H973" s="304">
        <f t="shared" si="149"/>
        <v>747.96</v>
      </c>
      <c r="I973" s="304">
        <f t="shared" si="150"/>
        <v>748</v>
      </c>
      <c r="L973" s="195"/>
    </row>
    <row r="974" spans="1:12" customFormat="1" ht="31.5" outlineLevel="1" x14ac:dyDescent="0.2">
      <c r="A974" s="25" t="s">
        <v>1672</v>
      </c>
      <c r="B974" s="145" t="s">
        <v>2725</v>
      </c>
      <c r="C974" s="97" t="s">
        <v>6</v>
      </c>
      <c r="D974" s="118">
        <f t="shared" si="146"/>
        <v>1705</v>
      </c>
      <c r="E974" s="118">
        <f t="shared" si="147"/>
        <v>341</v>
      </c>
      <c r="F974" s="118">
        <f t="shared" si="148"/>
        <v>2046</v>
      </c>
      <c r="G974" s="123">
        <v>1887</v>
      </c>
      <c r="H974" s="304">
        <f t="shared" si="149"/>
        <v>2045.508</v>
      </c>
      <c r="I974" s="304">
        <f t="shared" si="150"/>
        <v>2046</v>
      </c>
      <c r="L974" s="195"/>
    </row>
    <row r="975" spans="1:12" customFormat="1" outlineLevel="1" x14ac:dyDescent="0.2">
      <c r="A975" s="25" t="s">
        <v>1673</v>
      </c>
      <c r="B975" s="145" t="s">
        <v>1869</v>
      </c>
      <c r="C975" s="97" t="s">
        <v>6</v>
      </c>
      <c r="D975" s="118">
        <f t="shared" si="146"/>
        <v>1648.3333333333333</v>
      </c>
      <c r="E975" s="118">
        <f t="shared" si="147"/>
        <v>329.66666666666674</v>
      </c>
      <c r="F975" s="118">
        <f t="shared" si="148"/>
        <v>1978</v>
      </c>
      <c r="G975" s="123">
        <v>1825</v>
      </c>
      <c r="H975" s="304">
        <f t="shared" si="149"/>
        <v>1978.3000000000002</v>
      </c>
      <c r="I975" s="304">
        <f t="shared" si="150"/>
        <v>1978</v>
      </c>
      <c r="L975" s="195"/>
    </row>
    <row r="976" spans="1:12" customFormat="1" ht="31.5" outlineLevel="1" x14ac:dyDescent="0.2">
      <c r="A976" s="25" t="s">
        <v>1674</v>
      </c>
      <c r="B976" s="145" t="s">
        <v>1868</v>
      </c>
      <c r="C976" s="97" t="s">
        <v>6</v>
      </c>
      <c r="D976" s="118">
        <f t="shared" si="146"/>
        <v>1386.6666666666665</v>
      </c>
      <c r="E976" s="118">
        <f t="shared" si="147"/>
        <v>277.33333333333337</v>
      </c>
      <c r="F976" s="118">
        <f t="shared" si="148"/>
        <v>1664</v>
      </c>
      <c r="G976" s="123">
        <v>1535</v>
      </c>
      <c r="H976" s="304">
        <f t="shared" si="149"/>
        <v>1663.94</v>
      </c>
      <c r="I976" s="304">
        <f t="shared" si="150"/>
        <v>1664</v>
      </c>
      <c r="L976" s="195"/>
    </row>
    <row r="977" spans="1:12" customFormat="1" outlineLevel="1" x14ac:dyDescent="0.2">
      <c r="A977" s="25" t="s">
        <v>1675</v>
      </c>
      <c r="B977" s="70" t="s">
        <v>1865</v>
      </c>
      <c r="C977" s="97" t="s">
        <v>6</v>
      </c>
      <c r="D977" s="118">
        <f t="shared" si="146"/>
        <v>327.5</v>
      </c>
      <c r="E977" s="118">
        <f t="shared" si="147"/>
        <v>65.5</v>
      </c>
      <c r="F977" s="118">
        <f t="shared" si="148"/>
        <v>393</v>
      </c>
      <c r="G977" s="123">
        <v>363</v>
      </c>
      <c r="H977" s="304">
        <f t="shared" si="149"/>
        <v>393.49200000000002</v>
      </c>
      <c r="I977" s="304">
        <f t="shared" si="150"/>
        <v>393</v>
      </c>
      <c r="L977" s="195"/>
    </row>
    <row r="978" spans="1:12" customFormat="1" outlineLevel="1" x14ac:dyDescent="0.2">
      <c r="A978" s="25" t="s">
        <v>1676</v>
      </c>
      <c r="B978" s="70" t="s">
        <v>1864</v>
      </c>
      <c r="C978" s="97" t="s">
        <v>6</v>
      </c>
      <c r="D978" s="118">
        <f t="shared" si="146"/>
        <v>335.83333333333331</v>
      </c>
      <c r="E978" s="118">
        <f t="shared" si="147"/>
        <v>67.166666666666671</v>
      </c>
      <c r="F978" s="118">
        <f>I978+10</f>
        <v>403</v>
      </c>
      <c r="G978" s="123">
        <v>363</v>
      </c>
      <c r="H978" s="304">
        <f t="shared" si="149"/>
        <v>393.49200000000002</v>
      </c>
      <c r="I978" s="304">
        <f t="shared" si="150"/>
        <v>393</v>
      </c>
      <c r="L978" s="195"/>
    </row>
    <row r="979" spans="1:12" customFormat="1" outlineLevel="1" x14ac:dyDescent="0.2">
      <c r="A979" s="25" t="s">
        <v>1677</v>
      </c>
      <c r="B979" s="70" t="s">
        <v>1574</v>
      </c>
      <c r="C979" s="97" t="s">
        <v>6</v>
      </c>
      <c r="D979" s="118">
        <f t="shared" si="146"/>
        <v>1255.8333333333333</v>
      </c>
      <c r="E979" s="118">
        <f t="shared" si="147"/>
        <v>251.16666666666671</v>
      </c>
      <c r="F979" s="118">
        <f t="shared" si="148"/>
        <v>1507</v>
      </c>
      <c r="G979" s="123">
        <v>1390</v>
      </c>
      <c r="H979" s="304">
        <f t="shared" si="149"/>
        <v>1506.76</v>
      </c>
      <c r="I979" s="304">
        <f t="shared" si="150"/>
        <v>1507</v>
      </c>
      <c r="L979" s="195"/>
    </row>
    <row r="980" spans="1:12" customFormat="1" outlineLevel="1" x14ac:dyDescent="0.2">
      <c r="A980" s="25" t="s">
        <v>1678</v>
      </c>
      <c r="B980" s="70" t="s">
        <v>1575</v>
      </c>
      <c r="C980" s="97" t="s">
        <v>6</v>
      </c>
      <c r="D980" s="118">
        <f t="shared" si="146"/>
        <v>351.66666666666663</v>
      </c>
      <c r="E980" s="118">
        <f t="shared" si="147"/>
        <v>70.333333333333343</v>
      </c>
      <c r="F980" s="118">
        <f t="shared" si="148"/>
        <v>422</v>
      </c>
      <c r="G980" s="123">
        <v>389</v>
      </c>
      <c r="H980" s="304">
        <f t="shared" si="149"/>
        <v>421.67600000000004</v>
      </c>
      <c r="I980" s="304">
        <f t="shared" si="150"/>
        <v>422</v>
      </c>
      <c r="L980" s="195"/>
    </row>
    <row r="981" spans="1:12" customFormat="1" outlineLevel="1" x14ac:dyDescent="0.2">
      <c r="A981" s="25" t="s">
        <v>1679</v>
      </c>
      <c r="B981" s="70" t="s">
        <v>1576</v>
      </c>
      <c r="C981" s="97" t="s">
        <v>6</v>
      </c>
      <c r="D981" s="118">
        <f t="shared" si="146"/>
        <v>294.16666666666663</v>
      </c>
      <c r="E981" s="118">
        <f t="shared" si="147"/>
        <v>58.833333333333343</v>
      </c>
      <c r="F981" s="118">
        <f>I981+10</f>
        <v>353</v>
      </c>
      <c r="G981" s="123">
        <v>316</v>
      </c>
      <c r="H981" s="304">
        <f t="shared" si="149"/>
        <v>342.54400000000004</v>
      </c>
      <c r="I981" s="304">
        <f t="shared" si="150"/>
        <v>343</v>
      </c>
      <c r="L981" s="195"/>
    </row>
    <row r="982" spans="1:12" customFormat="1" outlineLevel="1" x14ac:dyDescent="0.2">
      <c r="A982" s="25" t="s">
        <v>1680</v>
      </c>
      <c r="B982" s="70" t="s">
        <v>1577</v>
      </c>
      <c r="C982" s="97" t="s">
        <v>6</v>
      </c>
      <c r="D982" s="118">
        <f t="shared" si="146"/>
        <v>295</v>
      </c>
      <c r="E982" s="118">
        <f t="shared" si="147"/>
        <v>59</v>
      </c>
      <c r="F982" s="118">
        <f t="shared" si="148"/>
        <v>354</v>
      </c>
      <c r="G982" s="123">
        <v>327</v>
      </c>
      <c r="H982" s="304">
        <f t="shared" si="149"/>
        <v>354.46800000000002</v>
      </c>
      <c r="I982" s="304">
        <f t="shared" si="150"/>
        <v>354</v>
      </c>
      <c r="L982" s="195"/>
    </row>
    <row r="983" spans="1:12" customFormat="1" outlineLevel="1" x14ac:dyDescent="0.2">
      <c r="A983" s="25" t="s">
        <v>1681</v>
      </c>
      <c r="B983" s="145" t="s">
        <v>1867</v>
      </c>
      <c r="C983" s="97"/>
      <c r="D983" s="118"/>
      <c r="E983" s="118"/>
      <c r="F983" s="118"/>
      <c r="G983" s="123"/>
      <c r="H983" s="304">
        <f t="shared" si="149"/>
        <v>0</v>
      </c>
      <c r="I983" s="304">
        <f t="shared" si="150"/>
        <v>0</v>
      </c>
      <c r="L983" s="195"/>
    </row>
    <row r="984" spans="1:12" customFormat="1" outlineLevel="2" x14ac:dyDescent="0.2">
      <c r="A984" s="214" t="s">
        <v>2717</v>
      </c>
      <c r="B984" s="70" t="s">
        <v>1578</v>
      </c>
      <c r="C984" s="97" t="s">
        <v>6</v>
      </c>
      <c r="D984" s="118">
        <f t="shared" si="146"/>
        <v>1545.8333333333333</v>
      </c>
      <c r="E984" s="118">
        <f t="shared" si="147"/>
        <v>309.16666666666674</v>
      </c>
      <c r="F984" s="118">
        <f t="shared" si="148"/>
        <v>1855</v>
      </c>
      <c r="G984" s="123">
        <v>1711</v>
      </c>
      <c r="H984" s="304">
        <f t="shared" si="149"/>
        <v>1854.7240000000002</v>
      </c>
      <c r="I984" s="304">
        <f t="shared" si="150"/>
        <v>1855</v>
      </c>
      <c r="L984" s="195"/>
    </row>
    <row r="985" spans="1:12" customFormat="1" outlineLevel="2" x14ac:dyDescent="0.2">
      <c r="A985" s="214" t="s">
        <v>2718</v>
      </c>
      <c r="B985" s="70" t="s">
        <v>980</v>
      </c>
      <c r="C985" s="97" t="s">
        <v>6</v>
      </c>
      <c r="D985" s="118">
        <f t="shared" si="146"/>
        <v>1415</v>
      </c>
      <c r="E985" s="118">
        <f t="shared" si="147"/>
        <v>283</v>
      </c>
      <c r="F985" s="118">
        <f t="shared" si="148"/>
        <v>1698</v>
      </c>
      <c r="G985" s="123">
        <v>1566</v>
      </c>
      <c r="H985" s="304">
        <f t="shared" si="149"/>
        <v>1697.5440000000001</v>
      </c>
      <c r="I985" s="304">
        <f t="shared" si="150"/>
        <v>1698</v>
      </c>
      <c r="L985" s="195"/>
    </row>
    <row r="986" spans="1:12" customFormat="1" outlineLevel="1" x14ac:dyDescent="0.2">
      <c r="A986" s="25" t="s">
        <v>2714</v>
      </c>
      <c r="B986" s="70" t="s">
        <v>1866</v>
      </c>
      <c r="C986" s="97" t="s">
        <v>6</v>
      </c>
      <c r="D986" s="118">
        <f t="shared" si="146"/>
        <v>1967.5</v>
      </c>
      <c r="E986" s="118">
        <f t="shared" si="147"/>
        <v>393.5</v>
      </c>
      <c r="F986" s="118">
        <f t="shared" si="148"/>
        <v>2361</v>
      </c>
      <c r="G986" s="123">
        <v>2178</v>
      </c>
      <c r="H986" s="304">
        <f t="shared" si="149"/>
        <v>2360.9520000000002</v>
      </c>
      <c r="I986" s="304">
        <f t="shared" si="150"/>
        <v>2361</v>
      </c>
      <c r="L986" s="195"/>
    </row>
    <row r="987" spans="1:12" customFormat="1" outlineLevel="1" x14ac:dyDescent="0.2">
      <c r="A987" s="25" t="s">
        <v>2715</v>
      </c>
      <c r="B987" s="70" t="s">
        <v>1870</v>
      </c>
      <c r="C987" s="97" t="s">
        <v>6</v>
      </c>
      <c r="D987" s="118">
        <f t="shared" si="146"/>
        <v>469.16666666666663</v>
      </c>
      <c r="E987" s="118">
        <f t="shared" si="147"/>
        <v>93.833333333333343</v>
      </c>
      <c r="F987" s="118">
        <f t="shared" si="148"/>
        <v>563</v>
      </c>
      <c r="G987" s="123">
        <v>519</v>
      </c>
      <c r="H987" s="304">
        <f t="shared" si="149"/>
        <v>562.596</v>
      </c>
      <c r="I987" s="304">
        <f t="shared" si="150"/>
        <v>563</v>
      </c>
      <c r="L987" s="195"/>
    </row>
    <row r="988" spans="1:12" customFormat="1" outlineLevel="1" x14ac:dyDescent="0.2">
      <c r="A988" s="25" t="s">
        <v>2716</v>
      </c>
      <c r="B988" s="70" t="s">
        <v>2711</v>
      </c>
      <c r="C988" s="97" t="s">
        <v>6</v>
      </c>
      <c r="D988" s="118">
        <f t="shared" si="146"/>
        <v>483.33333333333331</v>
      </c>
      <c r="E988" s="118">
        <f t="shared" si="147"/>
        <v>96.666666666666686</v>
      </c>
      <c r="F988" s="118">
        <f t="shared" si="148"/>
        <v>580</v>
      </c>
      <c r="G988" s="123">
        <v>535</v>
      </c>
      <c r="H988" s="304">
        <f t="shared" si="149"/>
        <v>579.94000000000005</v>
      </c>
      <c r="I988" s="304">
        <f t="shared" si="150"/>
        <v>580</v>
      </c>
      <c r="L988" s="195"/>
    </row>
    <row r="989" spans="1:12" customFormat="1" outlineLevel="1" x14ac:dyDescent="0.2">
      <c r="A989" s="25" t="s">
        <v>2719</v>
      </c>
      <c r="B989" s="70" t="s">
        <v>2722</v>
      </c>
      <c r="C989" s="97" t="s">
        <v>6</v>
      </c>
      <c r="D989" s="118">
        <f t="shared" si="146"/>
        <v>483.33333333333331</v>
      </c>
      <c r="E989" s="118">
        <f t="shared" si="147"/>
        <v>96.666666666666686</v>
      </c>
      <c r="F989" s="118">
        <f t="shared" si="148"/>
        <v>580</v>
      </c>
      <c r="G989" s="123">
        <v>535</v>
      </c>
      <c r="H989" s="304">
        <f t="shared" si="149"/>
        <v>579.94000000000005</v>
      </c>
      <c r="I989" s="304">
        <f t="shared" si="150"/>
        <v>580</v>
      </c>
      <c r="L989" s="195"/>
    </row>
    <row r="990" spans="1:12" customFormat="1" outlineLevel="1" x14ac:dyDescent="0.2">
      <c r="A990" s="25" t="s">
        <v>2720</v>
      </c>
      <c r="B990" s="70" t="s">
        <v>2723</v>
      </c>
      <c r="C990" s="97" t="s">
        <v>6</v>
      </c>
      <c r="D990" s="118">
        <f t="shared" si="146"/>
        <v>415.83333333333331</v>
      </c>
      <c r="E990" s="118">
        <f t="shared" si="147"/>
        <v>83.166666666666686</v>
      </c>
      <c r="F990" s="118">
        <f t="shared" si="148"/>
        <v>499</v>
      </c>
      <c r="G990" s="123">
        <v>460</v>
      </c>
      <c r="H990" s="304">
        <f t="shared" si="149"/>
        <v>498.64000000000004</v>
      </c>
      <c r="I990" s="304">
        <f t="shared" si="150"/>
        <v>499</v>
      </c>
      <c r="L990" s="195"/>
    </row>
    <row r="991" spans="1:12" customFormat="1" outlineLevel="1" x14ac:dyDescent="0.2">
      <c r="A991" s="25" t="s">
        <v>2721</v>
      </c>
      <c r="B991" s="70" t="s">
        <v>2724</v>
      </c>
      <c r="C991" s="97" t="s">
        <v>6</v>
      </c>
      <c r="D991" s="118">
        <f t="shared" si="146"/>
        <v>420</v>
      </c>
      <c r="E991" s="118">
        <f t="shared" si="147"/>
        <v>84</v>
      </c>
      <c r="F991" s="118">
        <f t="shared" si="148"/>
        <v>504</v>
      </c>
      <c r="G991" s="123">
        <v>465</v>
      </c>
      <c r="H991" s="304">
        <f t="shared" si="149"/>
        <v>504.06000000000006</v>
      </c>
      <c r="I991" s="304">
        <f t="shared" si="150"/>
        <v>504</v>
      </c>
      <c r="L991" s="195"/>
    </row>
    <row r="992" spans="1:12" customFormat="1" outlineLevel="1" x14ac:dyDescent="0.2">
      <c r="A992" s="25" t="s">
        <v>3061</v>
      </c>
      <c r="B992" s="70" t="s">
        <v>3062</v>
      </c>
      <c r="C992" s="97" t="s">
        <v>6</v>
      </c>
      <c r="D992" s="118">
        <f t="shared" si="146"/>
        <v>415.83333333333331</v>
      </c>
      <c r="E992" s="118">
        <f t="shared" si="147"/>
        <v>83.166666666666686</v>
      </c>
      <c r="F992" s="118">
        <f t="shared" si="148"/>
        <v>499</v>
      </c>
      <c r="G992" s="123">
        <v>460</v>
      </c>
      <c r="H992" s="304">
        <f t="shared" si="149"/>
        <v>498.64000000000004</v>
      </c>
      <c r="I992" s="304">
        <f t="shared" si="150"/>
        <v>499</v>
      </c>
      <c r="L992" s="195"/>
    </row>
    <row r="993" spans="1:12" customFormat="1" outlineLevel="1" x14ac:dyDescent="0.2">
      <c r="A993" s="25" t="s">
        <v>3249</v>
      </c>
      <c r="B993" s="145" t="s">
        <v>3250</v>
      </c>
      <c r="C993" s="97" t="s">
        <v>6</v>
      </c>
      <c r="D993" s="118">
        <f t="shared" si="146"/>
        <v>1806.6666666666665</v>
      </c>
      <c r="E993" s="118">
        <f t="shared" si="147"/>
        <v>361.33333333333337</v>
      </c>
      <c r="F993" s="118">
        <f t="shared" si="148"/>
        <v>2168</v>
      </c>
      <c r="G993" s="123">
        <v>2000</v>
      </c>
      <c r="H993" s="304">
        <f t="shared" si="149"/>
        <v>2168</v>
      </c>
      <c r="I993" s="304">
        <f t="shared" si="150"/>
        <v>2168</v>
      </c>
      <c r="L993" s="195"/>
    </row>
    <row r="994" spans="1:12" customFormat="1" ht="18.75" x14ac:dyDescent="0.2">
      <c r="A994" s="432" t="s">
        <v>1512</v>
      </c>
      <c r="B994" s="433"/>
      <c r="C994" s="433"/>
      <c r="D994" s="433"/>
      <c r="E994" s="433"/>
      <c r="F994" s="433"/>
      <c r="G994" s="434"/>
      <c r="H994" s="315"/>
      <c r="I994" s="315"/>
      <c r="L994" s="195"/>
    </row>
    <row r="995" spans="1:12" customFormat="1" ht="31.5" customHeight="1" outlineLevel="2" x14ac:dyDescent="0.2">
      <c r="A995" s="436" t="s">
        <v>1513</v>
      </c>
      <c r="B995" s="437"/>
      <c r="C995" s="437"/>
      <c r="D995" s="437"/>
      <c r="E995" s="437"/>
      <c r="F995" s="437"/>
      <c r="G995" s="438"/>
      <c r="H995" s="318"/>
      <c r="I995" s="318"/>
      <c r="L995" s="195"/>
    </row>
    <row r="996" spans="1:12" customFormat="1" ht="31.5" outlineLevel="2" x14ac:dyDescent="0.2">
      <c r="A996" s="148" t="s">
        <v>1231</v>
      </c>
      <c r="B996" s="70" t="s">
        <v>1514</v>
      </c>
      <c r="C996" s="97" t="s">
        <v>810</v>
      </c>
      <c r="D996" s="118">
        <f t="shared" ref="D996" si="151">F996-E996</f>
        <v>3376.6666666666665</v>
      </c>
      <c r="E996" s="118">
        <f t="shared" ref="E996" si="152">F996/1.2*0.2</f>
        <v>675.33333333333348</v>
      </c>
      <c r="F996" s="118">
        <f t="shared" ref="F996" si="153">I996</f>
        <v>4052</v>
      </c>
      <c r="G996" s="123">
        <v>3738</v>
      </c>
      <c r="H996" s="304">
        <f t="shared" ref="H996" si="154">G996*$H$8</f>
        <v>4051.9920000000002</v>
      </c>
      <c r="I996" s="304">
        <f t="shared" ref="I996" si="155">ROUND(H996,0)</f>
        <v>4052</v>
      </c>
      <c r="L996" s="195"/>
    </row>
    <row r="997" spans="1:12" ht="6.75" customHeight="1" x14ac:dyDescent="0.25">
      <c r="A997" s="49"/>
      <c r="B997" s="117"/>
      <c r="C997" s="81"/>
      <c r="D997" s="81"/>
      <c r="E997" s="81"/>
      <c r="F997" s="81"/>
      <c r="G997" s="72"/>
      <c r="H997" s="72"/>
      <c r="I997" s="72"/>
    </row>
    <row r="998" spans="1:12" s="101" customFormat="1" ht="18.75" x14ac:dyDescent="0.25">
      <c r="A998" s="419" t="s">
        <v>1219</v>
      </c>
      <c r="B998" s="419"/>
      <c r="C998" s="419"/>
      <c r="D998" s="419"/>
      <c r="E998" s="419"/>
      <c r="F998" s="419"/>
      <c r="G998" s="419"/>
      <c r="H998" s="296"/>
      <c r="I998" s="296"/>
      <c r="L998" s="176"/>
    </row>
    <row r="999" spans="1:12" s="101" customFormat="1" ht="9" customHeight="1" x14ac:dyDescent="0.3">
      <c r="A999" s="102"/>
      <c r="B999" s="103"/>
      <c r="C999" s="103"/>
      <c r="D999" s="103"/>
      <c r="E999" s="103"/>
      <c r="F999" s="103"/>
      <c r="G999" s="124"/>
      <c r="H999" s="124"/>
      <c r="I999" s="124"/>
      <c r="L999" s="176"/>
    </row>
    <row r="1000" spans="1:12" s="101" customFormat="1" ht="52.5" customHeight="1" x14ac:dyDescent="0.25">
      <c r="A1000" s="420" t="s">
        <v>1224</v>
      </c>
      <c r="B1000" s="420"/>
      <c r="C1000" s="420"/>
      <c r="D1000" s="420"/>
      <c r="E1000" s="420"/>
      <c r="F1000" s="420"/>
      <c r="G1000" s="420"/>
      <c r="H1000" s="297"/>
      <c r="I1000" s="297"/>
      <c r="L1000" s="176"/>
    </row>
    <row r="1001" spans="1:12" s="101" customFormat="1" ht="6" customHeight="1" x14ac:dyDescent="0.3">
      <c r="A1001" s="102"/>
      <c r="B1001" s="103"/>
      <c r="C1001" s="103"/>
      <c r="D1001" s="103"/>
      <c r="E1001" s="103"/>
      <c r="F1001" s="103"/>
      <c r="G1001" s="124"/>
      <c r="H1001" s="124"/>
      <c r="I1001" s="124"/>
      <c r="L1001" s="176"/>
    </row>
    <row r="1002" spans="1:12" s="101" customFormat="1" ht="42" customHeight="1" x14ac:dyDescent="0.25">
      <c r="A1002" s="421" t="s">
        <v>1223</v>
      </c>
      <c r="B1002" s="421"/>
      <c r="C1002" s="421"/>
      <c r="D1002" s="421"/>
      <c r="E1002" s="421"/>
      <c r="F1002" s="421"/>
      <c r="G1002" s="421"/>
      <c r="H1002" s="298"/>
      <c r="I1002" s="298"/>
      <c r="L1002" s="176"/>
    </row>
    <row r="1003" spans="1:12" s="48" customFormat="1" ht="6" customHeight="1" x14ac:dyDescent="0.25">
      <c r="A1003" s="416"/>
      <c r="B1003" s="416"/>
      <c r="C1003" s="416"/>
      <c r="D1003" s="416"/>
      <c r="E1003" s="416"/>
      <c r="F1003" s="416"/>
      <c r="G1003" s="416"/>
      <c r="H1003" s="295"/>
      <c r="I1003" s="295"/>
      <c r="L1003" s="199"/>
    </row>
    <row r="1004" spans="1:12" s="59" customFormat="1" x14ac:dyDescent="0.25">
      <c r="A1004" s="415" t="s">
        <v>1227</v>
      </c>
      <c r="B1004" s="415"/>
      <c r="C1004" s="415"/>
      <c r="D1004" s="415"/>
      <c r="E1004" s="415"/>
      <c r="F1004" s="415"/>
      <c r="G1004" s="415"/>
      <c r="H1004" s="294"/>
      <c r="I1004" s="294"/>
      <c r="L1004" s="177"/>
    </row>
    <row r="1005" spans="1:12" s="59" customFormat="1" ht="6" customHeight="1" x14ac:dyDescent="0.25">
      <c r="A1005" s="78"/>
      <c r="C1005" s="78"/>
      <c r="D1005" s="78"/>
      <c r="E1005" s="78"/>
      <c r="F1005" s="78"/>
      <c r="G1005" s="74"/>
      <c r="H1005" s="74"/>
      <c r="I1005" s="74"/>
      <c r="L1005" s="177"/>
    </row>
    <row r="1006" spans="1:12" s="59" customFormat="1" x14ac:dyDescent="0.25">
      <c r="A1006" s="421" t="s">
        <v>1389</v>
      </c>
      <c r="B1006" s="421"/>
      <c r="C1006" s="421"/>
      <c r="D1006" s="421"/>
      <c r="E1006" s="421"/>
      <c r="F1006" s="421"/>
      <c r="G1006" s="421"/>
      <c r="H1006" s="298"/>
      <c r="I1006" s="298"/>
      <c r="L1006" s="177"/>
    </row>
    <row r="1007" spans="1:12" ht="6" customHeight="1" x14ac:dyDescent="0.3">
      <c r="A1007" s="77" t="s">
        <v>239</v>
      </c>
      <c r="B1007" s="18"/>
    </row>
    <row r="1008" spans="1:12" ht="20.25" customHeight="1" x14ac:dyDescent="0.25">
      <c r="A1008" s="421" t="s">
        <v>3264</v>
      </c>
      <c r="B1008" s="421"/>
      <c r="C1008" s="421"/>
      <c r="D1008" s="421"/>
      <c r="E1008" s="421"/>
      <c r="F1008" s="421"/>
      <c r="G1008" s="421"/>
      <c r="H1008" s="298"/>
      <c r="I1008" s="298"/>
    </row>
    <row r="1009" spans="1:12" s="59" customFormat="1" ht="6" customHeight="1" x14ac:dyDescent="0.25">
      <c r="A1009" s="106"/>
      <c r="B1009" s="106"/>
      <c r="C1009" s="106"/>
      <c r="D1009" s="298"/>
      <c r="E1009" s="298"/>
      <c r="F1009" s="298"/>
      <c r="G1009" s="110"/>
      <c r="H1009" s="298"/>
      <c r="I1009" s="298"/>
      <c r="L1009" s="177"/>
    </row>
    <row r="1010" spans="1:12" ht="15.75" customHeight="1" x14ac:dyDescent="0.25">
      <c r="A1010" s="435" t="s">
        <v>3522</v>
      </c>
      <c r="B1010" s="435"/>
      <c r="C1010" s="435"/>
      <c r="D1010" s="435"/>
      <c r="E1010" s="435"/>
      <c r="F1010" s="435"/>
      <c r="G1010" s="435"/>
      <c r="H1010" s="298"/>
      <c r="I1010" s="298"/>
    </row>
    <row r="1012" spans="1:12" x14ac:dyDescent="0.25"/>
  </sheetData>
  <autoFilter ref="A8:I996"/>
  <mergeCells count="34">
    <mergeCell ref="A10:G10"/>
    <mergeCell ref="A824:G824"/>
    <mergeCell ref="A860:G860"/>
    <mergeCell ref="A1010:G1010"/>
    <mergeCell ref="A1006:G1006"/>
    <mergeCell ref="A310:G310"/>
    <mergeCell ref="A1002:G1002"/>
    <mergeCell ref="A1003:G1003"/>
    <mergeCell ref="A995:G995"/>
    <mergeCell ref="A1004:G1004"/>
    <mergeCell ref="A994:G994"/>
    <mergeCell ref="A11:G11"/>
    <mergeCell ref="A12:G12"/>
    <mergeCell ref="A286:G286"/>
    <mergeCell ref="A1008:G1008"/>
    <mergeCell ref="A966:G966"/>
    <mergeCell ref="B3:G3"/>
    <mergeCell ref="A4:G4"/>
    <mergeCell ref="A5:G5"/>
    <mergeCell ref="A6:G6"/>
    <mergeCell ref="A9:G9"/>
    <mergeCell ref="A7:G7"/>
    <mergeCell ref="A998:G998"/>
    <mergeCell ref="A1000:G1000"/>
    <mergeCell ref="A582:G582"/>
    <mergeCell ref="A930:G930"/>
    <mergeCell ref="A958:G958"/>
    <mergeCell ref="A962:G962"/>
    <mergeCell ref="A948:G948"/>
    <mergeCell ref="A955:G955"/>
    <mergeCell ref="A616:G616"/>
    <mergeCell ref="A680:G680"/>
    <mergeCell ref="A929:G929"/>
    <mergeCell ref="A965:G965"/>
  </mergeCells>
  <printOptions horizontalCentered="1"/>
  <pageMargins left="0.59055118110236227" right="0.19685039370078741" top="0.39370078740157483" bottom="0.19685039370078741" header="0" footer="0"/>
  <pageSetup paperSize="9" scale="63" fitToHeight="14" orientation="portrait" r:id="rId1"/>
  <headerFooter>
    <oddFooter>&amp;C&amp;P</oddFooter>
  </headerFooter>
  <rowBreaks count="14" manualBreakCount="14">
    <brk id="56" max="5" man="1"/>
    <brk id="132" max="5" man="1"/>
    <brk id="214" max="5" man="1"/>
    <brk id="285" max="5" man="1"/>
    <brk id="609" max="5" man="1"/>
    <brk id="422" max="5" man="1"/>
    <brk id="508" max="5" man="1"/>
    <brk id="597" max="5" man="1"/>
    <brk id="682" max="5" man="1"/>
    <brk id="749" max="5" man="1"/>
    <brk id="815" max="5" man="1"/>
    <brk id="873" max="5" man="1"/>
    <brk id="923" max="5" man="1"/>
    <brk id="975" max="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0"/>
  <sheetViews>
    <sheetView topLeftCell="A847" zoomScaleNormal="100" workbookViewId="0">
      <selection activeCell="A851" sqref="A851:F851"/>
    </sheetView>
  </sheetViews>
  <sheetFormatPr defaultColWidth="8.5703125" defaultRowHeight="15.75" outlineLevelRow="3" x14ac:dyDescent="0.25"/>
  <cols>
    <col min="1" max="1" width="5.5703125" style="48" bestFit="1" customWidth="1"/>
    <col min="2" max="2" width="79.5703125" style="1" customWidth="1"/>
    <col min="3" max="3" width="15.42578125" style="48" bestFit="1" customWidth="1"/>
    <col min="4" max="4" width="9.7109375" style="78" customWidth="1"/>
    <col min="5" max="5" width="8.7109375" style="78" customWidth="1"/>
    <col min="6" max="6" width="12.140625" style="74" customWidth="1"/>
    <col min="7" max="7" width="9.85546875" style="1" customWidth="1"/>
    <col min="8" max="8" width="11" style="1" customWidth="1"/>
    <col min="9" max="9" width="8.5703125" style="14" customWidth="1"/>
    <col min="10" max="16384" width="8.5703125" style="1"/>
  </cols>
  <sheetData>
    <row r="1" spans="1:11" ht="18" hidden="1" x14ac:dyDescent="0.25">
      <c r="B1" s="47"/>
      <c r="C1" s="80"/>
      <c r="D1" s="120"/>
      <c r="E1" s="120"/>
      <c r="F1" s="71" t="s">
        <v>364</v>
      </c>
      <c r="G1" s="14"/>
      <c r="H1" s="45"/>
    </row>
    <row r="2" spans="1:11" ht="18" hidden="1" x14ac:dyDescent="0.25">
      <c r="A2" s="1"/>
      <c r="B2" s="44"/>
      <c r="C2" s="2"/>
      <c r="D2" s="121"/>
      <c r="E2" s="121"/>
      <c r="F2" s="116" t="str">
        <f>'Лаборатория - ПТЗ, Шуйское, 26'!F2</f>
        <v>№  1027-П от 29 декабря 2021 года</v>
      </c>
      <c r="G2" s="14"/>
      <c r="H2" s="45"/>
      <c r="I2" s="54"/>
      <c r="K2" s="2"/>
    </row>
    <row r="3" spans="1:11" ht="18" hidden="1" x14ac:dyDescent="0.25">
      <c r="B3" s="387"/>
      <c r="C3" s="388"/>
      <c r="D3" s="388"/>
      <c r="E3" s="388"/>
      <c r="F3" s="388"/>
      <c r="G3" s="14"/>
      <c r="H3" s="46"/>
      <c r="I3" s="54"/>
      <c r="K3" s="2"/>
    </row>
    <row r="4" spans="1:11" ht="23.25" hidden="1" x14ac:dyDescent="0.25">
      <c r="A4" s="389" t="s">
        <v>1220</v>
      </c>
      <c r="B4" s="389"/>
      <c r="C4" s="389"/>
      <c r="D4" s="389"/>
      <c r="E4" s="389"/>
      <c r="F4" s="389"/>
      <c r="G4" s="104"/>
      <c r="H4" s="104"/>
      <c r="I4" s="54"/>
      <c r="K4" s="2"/>
    </row>
    <row r="5" spans="1:11" ht="21" hidden="1" x14ac:dyDescent="0.25">
      <c r="A5" s="390" t="s">
        <v>1221</v>
      </c>
      <c r="B5" s="390"/>
      <c r="C5" s="390"/>
      <c r="D5" s="390"/>
      <c r="E5" s="390"/>
      <c r="F5" s="390"/>
      <c r="G5" s="104"/>
      <c r="H5" s="104"/>
      <c r="I5" s="54"/>
      <c r="K5" s="2"/>
    </row>
    <row r="6" spans="1:11" s="3" customFormat="1" ht="21" hidden="1" x14ac:dyDescent="0.35">
      <c r="A6" s="390" t="s">
        <v>1222</v>
      </c>
      <c r="B6" s="390"/>
      <c r="C6" s="390"/>
      <c r="D6" s="390"/>
      <c r="E6" s="390"/>
      <c r="F6" s="390"/>
      <c r="I6" s="55"/>
    </row>
    <row r="7" spans="1:11" s="114" customFormat="1" ht="11.25" hidden="1" customHeight="1" x14ac:dyDescent="0.35">
      <c r="A7" s="112"/>
      <c r="B7" s="112"/>
      <c r="C7" s="112"/>
      <c r="D7" s="122">
        <v>1</v>
      </c>
      <c r="E7" s="122">
        <v>0.2</v>
      </c>
      <c r="F7" s="122">
        <v>1.2</v>
      </c>
      <c r="I7" s="115"/>
    </row>
    <row r="8" spans="1:11" s="4" customFormat="1" ht="56.25" hidden="1" x14ac:dyDescent="0.2">
      <c r="A8" s="16" t="s">
        <v>0</v>
      </c>
      <c r="B8" s="16" t="s">
        <v>1</v>
      </c>
      <c r="C8" s="119" t="s">
        <v>2</v>
      </c>
      <c r="D8" s="17" t="s">
        <v>3</v>
      </c>
      <c r="E8" s="16" t="s">
        <v>1393</v>
      </c>
      <c r="F8" s="17" t="s">
        <v>1394</v>
      </c>
      <c r="I8" s="56"/>
    </row>
    <row r="9" spans="1:11" ht="18.75" hidden="1" x14ac:dyDescent="0.25">
      <c r="A9" s="430" t="s">
        <v>1226</v>
      </c>
      <c r="B9" s="430"/>
      <c r="C9" s="430"/>
      <c r="D9" s="430"/>
      <c r="E9" s="430"/>
      <c r="F9" s="430"/>
      <c r="G9" s="53"/>
      <c r="H9" s="53"/>
    </row>
    <row r="10" spans="1:11" ht="18.75" hidden="1" x14ac:dyDescent="0.25">
      <c r="A10" s="392" t="s">
        <v>1295</v>
      </c>
      <c r="B10" s="393"/>
      <c r="C10" s="393"/>
      <c r="D10" s="393"/>
      <c r="E10" s="393"/>
      <c r="F10" s="394"/>
      <c r="G10" s="53"/>
    </row>
    <row r="11" spans="1:11" ht="18.75" hidden="1" x14ac:dyDescent="0.25">
      <c r="A11" s="392" t="s">
        <v>1229</v>
      </c>
      <c r="B11" s="393"/>
      <c r="C11" s="393"/>
      <c r="D11" s="393"/>
      <c r="E11" s="393"/>
      <c r="F11" s="394"/>
      <c r="G11" s="53"/>
    </row>
    <row r="12" spans="1:11" customFormat="1" ht="18.75" hidden="1" x14ac:dyDescent="0.25">
      <c r="A12" s="392" t="s">
        <v>1230</v>
      </c>
      <c r="B12" s="393"/>
      <c r="C12" s="393"/>
      <c r="D12" s="393"/>
      <c r="E12" s="393"/>
      <c r="F12" s="394"/>
      <c r="G12" s="53"/>
      <c r="H12" s="1"/>
      <c r="I12" s="83"/>
      <c r="J12" s="84"/>
      <c r="K12" s="84"/>
    </row>
    <row r="13" spans="1:11" customFormat="1" ht="31.5" hidden="1" outlineLevel="1" x14ac:dyDescent="0.25">
      <c r="A13" s="144" t="s">
        <v>1231</v>
      </c>
      <c r="B13" s="70" t="s">
        <v>486</v>
      </c>
      <c r="C13" s="141" t="s">
        <v>487</v>
      </c>
      <c r="D13" s="118">
        <f>F13-E13</f>
        <v>244.17000000000002</v>
      </c>
      <c r="E13" s="118">
        <f>ROUND(F13*$E$7/$F$7,2)</f>
        <v>48.83</v>
      </c>
      <c r="F13" s="118">
        <v>293</v>
      </c>
      <c r="G13" s="83"/>
      <c r="H13" s="84"/>
      <c r="I13" s="84"/>
    </row>
    <row r="14" spans="1:11" customFormat="1" hidden="1" outlineLevel="1" x14ac:dyDescent="0.25">
      <c r="A14" s="144" t="s">
        <v>1232</v>
      </c>
      <c r="B14" s="70" t="s">
        <v>488</v>
      </c>
      <c r="C14" s="141" t="s">
        <v>487</v>
      </c>
      <c r="D14" s="118">
        <f t="shared" ref="D14:D77" si="0">F14-E14</f>
        <v>121.67</v>
      </c>
      <c r="E14" s="118">
        <f t="shared" ref="E14:E77" si="1">ROUND(F14*$E$7/$F$7,2)</f>
        <v>24.33</v>
      </c>
      <c r="F14" s="118">
        <v>146</v>
      </c>
      <c r="G14" s="83"/>
      <c r="H14" s="84"/>
      <c r="I14" s="84"/>
    </row>
    <row r="15" spans="1:11" customFormat="1" ht="51" hidden="1" outlineLevel="1" x14ac:dyDescent="0.25">
      <c r="A15" s="144" t="s">
        <v>1233</v>
      </c>
      <c r="B15" s="70" t="s">
        <v>489</v>
      </c>
      <c r="C15" s="141" t="s">
        <v>1409</v>
      </c>
      <c r="D15" s="118">
        <f t="shared" si="0"/>
        <v>121.67</v>
      </c>
      <c r="E15" s="118">
        <f t="shared" si="1"/>
        <v>24.33</v>
      </c>
      <c r="F15" s="118">
        <v>146</v>
      </c>
      <c r="G15" s="83"/>
      <c r="H15" s="84"/>
      <c r="I15" s="84"/>
    </row>
    <row r="16" spans="1:11" customFormat="1" ht="31.5" hidden="1" outlineLevel="1" x14ac:dyDescent="0.25">
      <c r="A16" s="144" t="s">
        <v>1234</v>
      </c>
      <c r="B16" s="70" t="s">
        <v>490</v>
      </c>
      <c r="C16" s="141" t="s">
        <v>491</v>
      </c>
      <c r="D16" s="118">
        <f t="shared" si="0"/>
        <v>121.67</v>
      </c>
      <c r="E16" s="118">
        <f t="shared" si="1"/>
        <v>24.33</v>
      </c>
      <c r="F16" s="118">
        <v>146</v>
      </c>
      <c r="G16" s="83"/>
      <c r="H16" s="84"/>
      <c r="I16" s="84"/>
    </row>
    <row r="17" spans="1:9" customFormat="1" ht="31.5" hidden="1" outlineLevel="1" x14ac:dyDescent="0.25">
      <c r="A17" s="144" t="s">
        <v>1235</v>
      </c>
      <c r="B17" s="70" t="s">
        <v>492</v>
      </c>
      <c r="C17" s="141" t="s">
        <v>491</v>
      </c>
      <c r="D17" s="118">
        <f t="shared" si="0"/>
        <v>73.33</v>
      </c>
      <c r="E17" s="118">
        <f t="shared" si="1"/>
        <v>14.67</v>
      </c>
      <c r="F17" s="118">
        <v>88</v>
      </c>
      <c r="G17" s="83"/>
      <c r="H17" s="84"/>
      <c r="I17" s="84"/>
    </row>
    <row r="18" spans="1:9" customFormat="1" ht="24" hidden="1" customHeight="1" outlineLevel="1" x14ac:dyDescent="0.25">
      <c r="A18" s="144" t="s">
        <v>1236</v>
      </c>
      <c r="B18" s="70" t="s">
        <v>493</v>
      </c>
      <c r="C18" s="141" t="s">
        <v>487</v>
      </c>
      <c r="D18" s="118">
        <f t="shared" si="0"/>
        <v>121.67</v>
      </c>
      <c r="E18" s="118">
        <f t="shared" si="1"/>
        <v>24.33</v>
      </c>
      <c r="F18" s="118">
        <v>146</v>
      </c>
      <c r="G18" s="83"/>
      <c r="H18" s="84"/>
      <c r="I18" s="84"/>
    </row>
    <row r="19" spans="1:9" customFormat="1" ht="47.25" hidden="1" outlineLevel="1" x14ac:dyDescent="0.25">
      <c r="A19" s="144" t="s">
        <v>1237</v>
      </c>
      <c r="B19" s="70" t="s">
        <v>1210</v>
      </c>
      <c r="C19" s="141" t="s">
        <v>487</v>
      </c>
      <c r="D19" s="118">
        <f t="shared" si="0"/>
        <v>292.5</v>
      </c>
      <c r="E19" s="118">
        <f t="shared" si="1"/>
        <v>58.5</v>
      </c>
      <c r="F19" s="118">
        <v>351</v>
      </c>
      <c r="G19" s="83"/>
      <c r="H19" s="84"/>
      <c r="I19" s="84"/>
    </row>
    <row r="20" spans="1:9" customFormat="1" hidden="1" outlineLevel="1" x14ac:dyDescent="0.25">
      <c r="A20" s="144" t="s">
        <v>1238</v>
      </c>
      <c r="B20" s="70" t="s">
        <v>494</v>
      </c>
      <c r="C20" s="141" t="s">
        <v>487</v>
      </c>
      <c r="D20" s="118">
        <f t="shared" si="0"/>
        <v>97.5</v>
      </c>
      <c r="E20" s="118">
        <f t="shared" si="1"/>
        <v>19.5</v>
      </c>
      <c r="F20" s="118">
        <v>117</v>
      </c>
      <c r="G20" s="83"/>
      <c r="H20" s="84"/>
      <c r="I20" s="84"/>
    </row>
    <row r="21" spans="1:9" customFormat="1" hidden="1" outlineLevel="1" x14ac:dyDescent="0.25">
      <c r="A21" s="144" t="s">
        <v>1239</v>
      </c>
      <c r="B21" s="70" t="s">
        <v>495</v>
      </c>
      <c r="C21" s="141" t="s">
        <v>487</v>
      </c>
      <c r="D21" s="118">
        <f t="shared" si="0"/>
        <v>24.17</v>
      </c>
      <c r="E21" s="118">
        <f t="shared" si="1"/>
        <v>4.83</v>
      </c>
      <c r="F21" s="118">
        <v>29</v>
      </c>
      <c r="G21" s="83"/>
      <c r="H21" s="84"/>
      <c r="I21" s="84"/>
    </row>
    <row r="22" spans="1:9" customFormat="1" hidden="1" outlineLevel="1" x14ac:dyDescent="0.25">
      <c r="A22" s="144" t="s">
        <v>1240</v>
      </c>
      <c r="B22" s="70" t="s">
        <v>496</v>
      </c>
      <c r="C22" s="141" t="s">
        <v>487</v>
      </c>
      <c r="D22" s="118">
        <f t="shared" si="0"/>
        <v>121.67</v>
      </c>
      <c r="E22" s="118">
        <f t="shared" si="1"/>
        <v>24.33</v>
      </c>
      <c r="F22" s="118">
        <v>146</v>
      </c>
      <c r="G22" s="83"/>
      <c r="H22" s="84"/>
      <c r="I22" s="84"/>
    </row>
    <row r="23" spans="1:9" customFormat="1" hidden="1" outlineLevel="1" x14ac:dyDescent="0.25">
      <c r="A23" s="144" t="s">
        <v>1241</v>
      </c>
      <c r="B23" s="70" t="s">
        <v>497</v>
      </c>
      <c r="C23" s="141" t="s">
        <v>487</v>
      </c>
      <c r="D23" s="118">
        <f t="shared" si="0"/>
        <v>172.5</v>
      </c>
      <c r="E23" s="118">
        <f t="shared" si="1"/>
        <v>34.5</v>
      </c>
      <c r="F23" s="118">
        <v>207</v>
      </c>
      <c r="G23" s="83"/>
      <c r="H23" s="84"/>
      <c r="I23" s="84"/>
    </row>
    <row r="24" spans="1:9" customFormat="1" ht="31.5" hidden="1" outlineLevel="1" x14ac:dyDescent="0.25">
      <c r="A24" s="144" t="s">
        <v>1242</v>
      </c>
      <c r="B24" s="70" t="s">
        <v>498</v>
      </c>
      <c r="C24" s="141" t="s">
        <v>499</v>
      </c>
      <c r="D24" s="118"/>
      <c r="E24" s="118"/>
      <c r="F24" s="118"/>
      <c r="G24" s="83"/>
      <c r="H24" s="84"/>
      <c r="I24" s="84"/>
    </row>
    <row r="25" spans="1:9" customFormat="1" hidden="1" outlineLevel="1" x14ac:dyDescent="0.25">
      <c r="A25" s="144" t="s">
        <v>155</v>
      </c>
      <c r="B25" s="70" t="s">
        <v>500</v>
      </c>
      <c r="C25" s="141"/>
      <c r="D25" s="118"/>
      <c r="E25" s="118"/>
      <c r="F25" s="118"/>
      <c r="G25" s="83"/>
      <c r="H25" s="84"/>
      <c r="I25" s="84"/>
    </row>
    <row r="26" spans="1:9" customFormat="1" hidden="1" outlineLevel="2" x14ac:dyDescent="0.25">
      <c r="A26" s="442"/>
      <c r="B26" s="70" t="s">
        <v>501</v>
      </c>
      <c r="C26" s="85"/>
      <c r="D26" s="118">
        <f t="shared" si="0"/>
        <v>178.32999999999998</v>
      </c>
      <c r="E26" s="118">
        <f t="shared" si="1"/>
        <v>35.67</v>
      </c>
      <c r="F26" s="118">
        <v>214</v>
      </c>
      <c r="G26" s="83"/>
      <c r="H26" s="84"/>
      <c r="I26" s="84"/>
    </row>
    <row r="27" spans="1:9" customFormat="1" hidden="1" outlineLevel="2" x14ac:dyDescent="0.25">
      <c r="A27" s="443"/>
      <c r="B27" s="70" t="s">
        <v>502</v>
      </c>
      <c r="C27" s="85"/>
      <c r="D27" s="118">
        <f t="shared" si="0"/>
        <v>302.5</v>
      </c>
      <c r="E27" s="118">
        <f t="shared" si="1"/>
        <v>60.5</v>
      </c>
      <c r="F27" s="118">
        <v>363</v>
      </c>
      <c r="G27" s="83"/>
      <c r="H27" s="84"/>
      <c r="I27" s="84"/>
    </row>
    <row r="28" spans="1:9" customFormat="1" hidden="1" outlineLevel="2" x14ac:dyDescent="0.25">
      <c r="A28" s="443"/>
      <c r="B28" s="70" t="s">
        <v>503</v>
      </c>
      <c r="C28" s="85"/>
      <c r="D28" s="118">
        <f t="shared" si="0"/>
        <v>425.83</v>
      </c>
      <c r="E28" s="118">
        <f t="shared" si="1"/>
        <v>85.17</v>
      </c>
      <c r="F28" s="118">
        <v>511</v>
      </c>
      <c r="G28" s="83"/>
      <c r="H28" s="84"/>
      <c r="I28" s="84"/>
    </row>
    <row r="29" spans="1:9" customFormat="1" hidden="1" outlineLevel="2" x14ac:dyDescent="0.25">
      <c r="A29" s="444"/>
      <c r="B29" s="70" t="s">
        <v>504</v>
      </c>
      <c r="C29" s="85"/>
      <c r="D29" s="118">
        <f t="shared" si="0"/>
        <v>798.33</v>
      </c>
      <c r="E29" s="118">
        <f t="shared" si="1"/>
        <v>159.66999999999999</v>
      </c>
      <c r="F29" s="118">
        <v>958</v>
      </c>
      <c r="G29" s="83"/>
      <c r="H29" s="84"/>
      <c r="I29" s="84"/>
    </row>
    <row r="30" spans="1:9" customFormat="1" hidden="1" outlineLevel="1" x14ac:dyDescent="0.25">
      <c r="A30" s="144" t="s">
        <v>156</v>
      </c>
      <c r="B30" s="70" t="s">
        <v>505</v>
      </c>
      <c r="C30" s="142"/>
      <c r="D30" s="118"/>
      <c r="E30" s="118"/>
      <c r="F30" s="118"/>
      <c r="G30" s="83"/>
      <c r="H30" s="84"/>
      <c r="I30" s="84"/>
    </row>
    <row r="31" spans="1:9" customFormat="1" hidden="1" outlineLevel="2" x14ac:dyDescent="0.25">
      <c r="A31" s="442"/>
      <c r="B31" s="70" t="s">
        <v>501</v>
      </c>
      <c r="C31" s="141"/>
      <c r="D31" s="118">
        <f t="shared" si="0"/>
        <v>87.5</v>
      </c>
      <c r="E31" s="118">
        <f t="shared" si="1"/>
        <v>17.5</v>
      </c>
      <c r="F31" s="118">
        <v>105</v>
      </c>
      <c r="G31" s="83"/>
      <c r="H31" s="84"/>
      <c r="I31" s="84"/>
    </row>
    <row r="32" spans="1:9" customFormat="1" hidden="1" outlineLevel="2" x14ac:dyDescent="0.25">
      <c r="A32" s="443"/>
      <c r="B32" s="70" t="s">
        <v>502</v>
      </c>
      <c r="C32" s="141"/>
      <c r="D32" s="118">
        <f t="shared" si="0"/>
        <v>120.83</v>
      </c>
      <c r="E32" s="118">
        <f t="shared" si="1"/>
        <v>24.17</v>
      </c>
      <c r="F32" s="118">
        <v>145</v>
      </c>
      <c r="G32" s="83"/>
      <c r="H32" s="84"/>
      <c r="I32" s="84"/>
    </row>
    <row r="33" spans="1:9" customFormat="1" hidden="1" outlineLevel="2" x14ac:dyDescent="0.25">
      <c r="A33" s="443"/>
      <c r="B33" s="70" t="s">
        <v>503</v>
      </c>
      <c r="C33" s="141"/>
      <c r="D33" s="118">
        <f t="shared" si="0"/>
        <v>153.32999999999998</v>
      </c>
      <c r="E33" s="118">
        <f t="shared" si="1"/>
        <v>30.67</v>
      </c>
      <c r="F33" s="118">
        <v>184</v>
      </c>
      <c r="G33" s="83"/>
      <c r="H33" s="84"/>
      <c r="I33" s="84"/>
    </row>
    <row r="34" spans="1:9" customFormat="1" hidden="1" outlineLevel="2" x14ac:dyDescent="0.25">
      <c r="A34" s="443"/>
      <c r="B34" s="70" t="s">
        <v>506</v>
      </c>
      <c r="C34" s="141"/>
      <c r="D34" s="118">
        <f t="shared" si="0"/>
        <v>185.82999999999998</v>
      </c>
      <c r="E34" s="118">
        <f t="shared" si="1"/>
        <v>37.17</v>
      </c>
      <c r="F34" s="118">
        <v>223</v>
      </c>
      <c r="G34" s="83"/>
      <c r="H34" s="84"/>
      <c r="I34" s="84"/>
    </row>
    <row r="35" spans="1:9" customFormat="1" hidden="1" outlineLevel="2" x14ac:dyDescent="0.25">
      <c r="A35" s="443"/>
      <c r="B35" s="70" t="s">
        <v>507</v>
      </c>
      <c r="C35" s="141"/>
      <c r="D35" s="118">
        <f t="shared" si="0"/>
        <v>219.17000000000002</v>
      </c>
      <c r="E35" s="118">
        <f t="shared" si="1"/>
        <v>43.83</v>
      </c>
      <c r="F35" s="118">
        <v>263</v>
      </c>
      <c r="G35" s="83"/>
      <c r="H35" s="84"/>
      <c r="I35" s="84"/>
    </row>
    <row r="36" spans="1:9" customFormat="1" hidden="1" outlineLevel="2" x14ac:dyDescent="0.25">
      <c r="A36" s="443"/>
      <c r="B36" s="70" t="s">
        <v>508</v>
      </c>
      <c r="C36" s="141"/>
      <c r="D36" s="118">
        <f t="shared" si="0"/>
        <v>251.67000000000002</v>
      </c>
      <c r="E36" s="118">
        <f t="shared" si="1"/>
        <v>50.33</v>
      </c>
      <c r="F36" s="118">
        <v>302</v>
      </c>
      <c r="G36" s="83"/>
      <c r="H36" s="84"/>
      <c r="I36" s="84"/>
    </row>
    <row r="37" spans="1:9" customFormat="1" hidden="1" outlineLevel="2" x14ac:dyDescent="0.25">
      <c r="A37" s="444"/>
      <c r="B37" s="70" t="s">
        <v>509</v>
      </c>
      <c r="C37" s="142"/>
      <c r="D37" s="118">
        <f t="shared" si="0"/>
        <v>449.17</v>
      </c>
      <c r="E37" s="118">
        <f t="shared" si="1"/>
        <v>89.83</v>
      </c>
      <c r="F37" s="118">
        <v>539</v>
      </c>
      <c r="G37" s="83"/>
      <c r="H37" s="84"/>
      <c r="I37" s="84"/>
    </row>
    <row r="38" spans="1:9" customFormat="1" hidden="1" outlineLevel="1" x14ac:dyDescent="0.25">
      <c r="A38" s="144" t="s">
        <v>157</v>
      </c>
      <c r="B38" s="70" t="s">
        <v>510</v>
      </c>
      <c r="C38" s="141"/>
      <c r="D38" s="118"/>
      <c r="E38" s="118"/>
      <c r="F38" s="118"/>
      <c r="G38" s="83"/>
      <c r="H38" s="84"/>
      <c r="I38" s="84"/>
    </row>
    <row r="39" spans="1:9" customFormat="1" hidden="1" outlineLevel="2" x14ac:dyDescent="0.25">
      <c r="A39" s="442"/>
      <c r="B39" s="70" t="s">
        <v>501</v>
      </c>
      <c r="C39" s="141"/>
      <c r="D39" s="118">
        <f t="shared" si="0"/>
        <v>77.5</v>
      </c>
      <c r="E39" s="118">
        <f t="shared" si="1"/>
        <v>15.5</v>
      </c>
      <c r="F39" s="118">
        <v>93</v>
      </c>
      <c r="G39" s="83"/>
      <c r="H39" s="84"/>
      <c r="I39" s="84"/>
    </row>
    <row r="40" spans="1:9" customFormat="1" hidden="1" outlineLevel="2" x14ac:dyDescent="0.25">
      <c r="A40" s="443"/>
      <c r="B40" s="70" t="s">
        <v>502</v>
      </c>
      <c r="C40" s="141"/>
      <c r="D40" s="118">
        <f t="shared" si="0"/>
        <v>100.83</v>
      </c>
      <c r="E40" s="118">
        <f t="shared" si="1"/>
        <v>20.170000000000002</v>
      </c>
      <c r="F40" s="118">
        <v>121</v>
      </c>
      <c r="G40" s="83"/>
      <c r="H40" s="84"/>
      <c r="I40" s="84"/>
    </row>
    <row r="41" spans="1:9" customFormat="1" hidden="1" outlineLevel="2" x14ac:dyDescent="0.25">
      <c r="A41" s="443"/>
      <c r="B41" s="70" t="s">
        <v>503</v>
      </c>
      <c r="C41" s="141"/>
      <c r="D41" s="118">
        <f t="shared" si="0"/>
        <v>123.33</v>
      </c>
      <c r="E41" s="118">
        <f t="shared" si="1"/>
        <v>24.67</v>
      </c>
      <c r="F41" s="118">
        <v>148</v>
      </c>
      <c r="G41" s="83"/>
      <c r="H41" s="84"/>
      <c r="I41" s="84"/>
    </row>
    <row r="42" spans="1:9" customFormat="1" hidden="1" outlineLevel="2" x14ac:dyDescent="0.25">
      <c r="A42" s="443"/>
      <c r="B42" s="70" t="s">
        <v>506</v>
      </c>
      <c r="C42" s="141"/>
      <c r="D42" s="118">
        <f t="shared" si="0"/>
        <v>146.67000000000002</v>
      </c>
      <c r="E42" s="118">
        <f t="shared" si="1"/>
        <v>29.33</v>
      </c>
      <c r="F42" s="118">
        <v>176</v>
      </c>
      <c r="G42" s="83"/>
      <c r="H42" s="84"/>
      <c r="I42" s="84"/>
    </row>
    <row r="43" spans="1:9" customFormat="1" hidden="1" outlineLevel="2" x14ac:dyDescent="0.25">
      <c r="A43" s="443"/>
      <c r="B43" s="70" t="s">
        <v>507</v>
      </c>
      <c r="C43" s="141"/>
      <c r="D43" s="118">
        <f t="shared" si="0"/>
        <v>170</v>
      </c>
      <c r="E43" s="118">
        <f t="shared" si="1"/>
        <v>34</v>
      </c>
      <c r="F43" s="118">
        <v>204</v>
      </c>
      <c r="G43" s="83"/>
      <c r="H43" s="84"/>
      <c r="I43" s="84"/>
    </row>
    <row r="44" spans="1:9" customFormat="1" hidden="1" outlineLevel="2" x14ac:dyDescent="0.25">
      <c r="A44" s="443"/>
      <c r="B44" s="70" t="s">
        <v>508</v>
      </c>
      <c r="C44" s="141"/>
      <c r="D44" s="118">
        <f t="shared" si="0"/>
        <v>193.32999999999998</v>
      </c>
      <c r="E44" s="118">
        <f t="shared" si="1"/>
        <v>38.67</v>
      </c>
      <c r="F44" s="118">
        <v>232</v>
      </c>
      <c r="G44" s="83"/>
      <c r="H44" s="84"/>
      <c r="I44" s="84"/>
    </row>
    <row r="45" spans="1:9" customFormat="1" hidden="1" outlineLevel="2" x14ac:dyDescent="0.25">
      <c r="A45" s="444"/>
      <c r="B45" s="70" t="s">
        <v>509</v>
      </c>
      <c r="C45" s="142"/>
      <c r="D45" s="118">
        <f t="shared" si="0"/>
        <v>331.67</v>
      </c>
      <c r="E45" s="118">
        <f t="shared" si="1"/>
        <v>66.33</v>
      </c>
      <c r="F45" s="118">
        <v>398</v>
      </c>
      <c r="G45" s="83"/>
      <c r="H45" s="84"/>
      <c r="I45" s="84"/>
    </row>
    <row r="46" spans="1:9" customFormat="1" hidden="1" outlineLevel="1" x14ac:dyDescent="0.25">
      <c r="A46" s="144" t="s">
        <v>158</v>
      </c>
      <c r="B46" s="70" t="s">
        <v>511</v>
      </c>
      <c r="C46" s="141"/>
      <c r="D46" s="118"/>
      <c r="E46" s="118"/>
      <c r="F46" s="118"/>
      <c r="G46" s="83"/>
      <c r="H46" s="84"/>
      <c r="I46" s="84"/>
    </row>
    <row r="47" spans="1:9" customFormat="1" hidden="1" outlineLevel="2" x14ac:dyDescent="0.25">
      <c r="A47" s="442"/>
      <c r="B47" s="70" t="s">
        <v>501</v>
      </c>
      <c r="C47" s="141"/>
      <c r="D47" s="118">
        <f t="shared" si="0"/>
        <v>65.83</v>
      </c>
      <c r="E47" s="118">
        <f t="shared" si="1"/>
        <v>13.17</v>
      </c>
      <c r="F47" s="118">
        <v>79</v>
      </c>
      <c r="G47" s="83"/>
      <c r="H47" s="84"/>
      <c r="I47" s="84"/>
    </row>
    <row r="48" spans="1:9" customFormat="1" hidden="1" outlineLevel="2" x14ac:dyDescent="0.25">
      <c r="A48" s="443"/>
      <c r="B48" s="70" t="s">
        <v>502</v>
      </c>
      <c r="C48" s="141"/>
      <c r="D48" s="118">
        <f t="shared" si="0"/>
        <v>76.67</v>
      </c>
      <c r="E48" s="118">
        <f t="shared" si="1"/>
        <v>15.33</v>
      </c>
      <c r="F48" s="118">
        <v>92</v>
      </c>
      <c r="G48" s="83"/>
      <c r="H48" s="84"/>
      <c r="I48" s="84"/>
    </row>
    <row r="49" spans="1:9" customFormat="1" hidden="1" outlineLevel="2" x14ac:dyDescent="0.25">
      <c r="A49" s="443"/>
      <c r="B49" s="70" t="s">
        <v>503</v>
      </c>
      <c r="C49" s="141"/>
      <c r="D49" s="118">
        <f t="shared" si="0"/>
        <v>88.33</v>
      </c>
      <c r="E49" s="118">
        <f t="shared" si="1"/>
        <v>17.670000000000002</v>
      </c>
      <c r="F49" s="118">
        <v>106</v>
      </c>
      <c r="G49" s="83"/>
      <c r="H49" s="84"/>
      <c r="I49" s="84"/>
    </row>
    <row r="50" spans="1:9" customFormat="1" hidden="1" outlineLevel="2" x14ac:dyDescent="0.25">
      <c r="A50" s="443"/>
      <c r="B50" s="70" t="s">
        <v>506</v>
      </c>
      <c r="C50" s="141"/>
      <c r="D50" s="118">
        <f t="shared" si="0"/>
        <v>99.17</v>
      </c>
      <c r="E50" s="118">
        <f t="shared" si="1"/>
        <v>19.829999999999998</v>
      </c>
      <c r="F50" s="118">
        <v>119</v>
      </c>
      <c r="G50" s="83"/>
      <c r="H50" s="84"/>
      <c r="I50" s="84"/>
    </row>
    <row r="51" spans="1:9" customFormat="1" hidden="1" outlineLevel="2" x14ac:dyDescent="0.25">
      <c r="A51" s="443"/>
      <c r="B51" s="70" t="s">
        <v>507</v>
      </c>
      <c r="C51" s="141"/>
      <c r="D51" s="118">
        <f t="shared" si="0"/>
        <v>110.83</v>
      </c>
      <c r="E51" s="118">
        <f t="shared" si="1"/>
        <v>22.17</v>
      </c>
      <c r="F51" s="118">
        <v>133</v>
      </c>
      <c r="G51" s="83"/>
      <c r="H51" s="84"/>
      <c r="I51" s="84"/>
    </row>
    <row r="52" spans="1:9" customFormat="1" hidden="1" outlineLevel="2" x14ac:dyDescent="0.25">
      <c r="A52" s="443"/>
      <c r="B52" s="70" t="s">
        <v>508</v>
      </c>
      <c r="C52" s="141"/>
      <c r="D52" s="118">
        <f t="shared" si="0"/>
        <v>121.67</v>
      </c>
      <c r="E52" s="118">
        <f t="shared" si="1"/>
        <v>24.33</v>
      </c>
      <c r="F52" s="118">
        <v>146</v>
      </c>
      <c r="G52" s="83"/>
      <c r="H52" s="84"/>
      <c r="I52" s="84"/>
    </row>
    <row r="53" spans="1:9" customFormat="1" hidden="1" outlineLevel="2" x14ac:dyDescent="0.25">
      <c r="A53" s="444"/>
      <c r="B53" s="70" t="s">
        <v>509</v>
      </c>
      <c r="C53" s="142"/>
      <c r="D53" s="118">
        <f t="shared" si="0"/>
        <v>190</v>
      </c>
      <c r="E53" s="118">
        <f t="shared" si="1"/>
        <v>38</v>
      </c>
      <c r="F53" s="118">
        <v>228</v>
      </c>
      <c r="G53" s="83"/>
      <c r="H53" s="84"/>
      <c r="I53" s="84"/>
    </row>
    <row r="54" spans="1:9" customFormat="1" hidden="1" outlineLevel="1" x14ac:dyDescent="0.25">
      <c r="A54" s="144" t="s">
        <v>165</v>
      </c>
      <c r="B54" s="70" t="s">
        <v>512</v>
      </c>
      <c r="C54" s="141"/>
      <c r="D54" s="118"/>
      <c r="E54" s="118"/>
      <c r="F54" s="118"/>
      <c r="G54" s="83"/>
      <c r="H54" s="84"/>
      <c r="I54" s="84"/>
    </row>
    <row r="55" spans="1:9" customFormat="1" hidden="1" outlineLevel="2" x14ac:dyDescent="0.25">
      <c r="A55" s="442"/>
      <c r="B55" s="70" t="s">
        <v>501</v>
      </c>
      <c r="C55" s="141"/>
      <c r="D55" s="118">
        <f t="shared" si="0"/>
        <v>65</v>
      </c>
      <c r="E55" s="118">
        <f t="shared" si="1"/>
        <v>13</v>
      </c>
      <c r="F55" s="118">
        <v>78</v>
      </c>
      <c r="G55" s="83"/>
      <c r="H55" s="84"/>
      <c r="I55" s="84"/>
    </row>
    <row r="56" spans="1:9" customFormat="1" hidden="1" outlineLevel="2" x14ac:dyDescent="0.25">
      <c r="A56" s="443"/>
      <c r="B56" s="70" t="s">
        <v>502</v>
      </c>
      <c r="C56" s="141"/>
      <c r="D56" s="118">
        <f t="shared" si="0"/>
        <v>76.67</v>
      </c>
      <c r="E56" s="118">
        <f t="shared" si="1"/>
        <v>15.33</v>
      </c>
      <c r="F56" s="118">
        <v>92</v>
      </c>
      <c r="G56" s="83"/>
      <c r="H56" s="84"/>
      <c r="I56" s="84"/>
    </row>
    <row r="57" spans="1:9" customFormat="1" hidden="1" outlineLevel="2" x14ac:dyDescent="0.25">
      <c r="A57" s="443"/>
      <c r="B57" s="70" t="s">
        <v>503</v>
      </c>
      <c r="C57" s="141"/>
      <c r="D57" s="118">
        <f t="shared" si="0"/>
        <v>87.5</v>
      </c>
      <c r="E57" s="118">
        <f t="shared" si="1"/>
        <v>17.5</v>
      </c>
      <c r="F57" s="118">
        <v>105</v>
      </c>
      <c r="G57" s="83"/>
      <c r="H57" s="84"/>
      <c r="I57" s="84"/>
    </row>
    <row r="58" spans="1:9" customFormat="1" hidden="1" outlineLevel="2" x14ac:dyDescent="0.25">
      <c r="A58" s="443"/>
      <c r="B58" s="70" t="s">
        <v>506</v>
      </c>
      <c r="C58" s="141"/>
      <c r="D58" s="118">
        <f t="shared" si="0"/>
        <v>98.33</v>
      </c>
      <c r="E58" s="118">
        <f t="shared" si="1"/>
        <v>19.670000000000002</v>
      </c>
      <c r="F58" s="118">
        <v>118</v>
      </c>
      <c r="G58" s="83"/>
      <c r="H58" s="84"/>
      <c r="I58" s="84"/>
    </row>
    <row r="59" spans="1:9" customFormat="1" hidden="1" outlineLevel="2" x14ac:dyDescent="0.25">
      <c r="A59" s="443"/>
      <c r="B59" s="70" t="s">
        <v>513</v>
      </c>
      <c r="C59" s="141"/>
      <c r="D59" s="118">
        <f t="shared" si="0"/>
        <v>120.83</v>
      </c>
      <c r="E59" s="118">
        <f t="shared" si="1"/>
        <v>24.17</v>
      </c>
      <c r="F59" s="118">
        <v>145</v>
      </c>
      <c r="G59" s="83"/>
      <c r="H59" s="84"/>
      <c r="I59" s="84"/>
    </row>
    <row r="60" spans="1:9" customFormat="1" hidden="1" outlineLevel="2" x14ac:dyDescent="0.25">
      <c r="A60" s="444"/>
      <c r="B60" s="70" t="s">
        <v>509</v>
      </c>
      <c r="C60" s="141"/>
      <c r="D60" s="118">
        <f t="shared" si="0"/>
        <v>186.67000000000002</v>
      </c>
      <c r="E60" s="118">
        <f t="shared" si="1"/>
        <v>37.33</v>
      </c>
      <c r="F60" s="118">
        <v>224</v>
      </c>
      <c r="G60" s="83"/>
      <c r="H60" s="84"/>
      <c r="I60" s="84"/>
    </row>
    <row r="61" spans="1:9" customFormat="1" hidden="1" outlineLevel="1" x14ac:dyDescent="0.25">
      <c r="A61" s="144" t="s">
        <v>166</v>
      </c>
      <c r="B61" s="70" t="s">
        <v>514</v>
      </c>
      <c r="C61" s="141"/>
      <c r="D61" s="118"/>
      <c r="E61" s="118"/>
      <c r="F61" s="118"/>
      <c r="G61" s="83"/>
      <c r="H61" s="84"/>
      <c r="I61" s="84"/>
    </row>
    <row r="62" spans="1:9" customFormat="1" hidden="1" outlineLevel="2" x14ac:dyDescent="0.25">
      <c r="A62" s="442"/>
      <c r="B62" s="70" t="s">
        <v>515</v>
      </c>
      <c r="C62" s="141"/>
      <c r="D62" s="118">
        <f t="shared" si="0"/>
        <v>73.33</v>
      </c>
      <c r="E62" s="118">
        <f t="shared" si="1"/>
        <v>14.67</v>
      </c>
      <c r="F62" s="118">
        <v>88</v>
      </c>
      <c r="G62" s="83"/>
      <c r="H62" s="84"/>
      <c r="I62" s="84"/>
    </row>
    <row r="63" spans="1:9" customFormat="1" hidden="1" outlineLevel="2" x14ac:dyDescent="0.25">
      <c r="A63" s="443"/>
      <c r="B63" s="70" t="s">
        <v>516</v>
      </c>
      <c r="C63" s="141"/>
      <c r="D63" s="118">
        <f t="shared" si="0"/>
        <v>97.5</v>
      </c>
      <c r="E63" s="118">
        <f t="shared" si="1"/>
        <v>19.5</v>
      </c>
      <c r="F63" s="118">
        <v>117</v>
      </c>
      <c r="G63" s="83"/>
      <c r="H63" s="84"/>
      <c r="I63" s="84"/>
    </row>
    <row r="64" spans="1:9" customFormat="1" hidden="1" outlineLevel="2" x14ac:dyDescent="0.25">
      <c r="A64" s="443"/>
      <c r="B64" s="70" t="s">
        <v>517</v>
      </c>
      <c r="C64" s="141"/>
      <c r="D64" s="118">
        <f t="shared" si="0"/>
        <v>195.82999999999998</v>
      </c>
      <c r="E64" s="118">
        <f t="shared" si="1"/>
        <v>39.17</v>
      </c>
      <c r="F64" s="118">
        <v>235</v>
      </c>
      <c r="G64" s="83"/>
      <c r="H64" s="84"/>
      <c r="I64" s="84"/>
    </row>
    <row r="65" spans="1:9" customFormat="1" hidden="1" outlineLevel="2" x14ac:dyDescent="0.25">
      <c r="A65" s="444"/>
      <c r="B65" s="70" t="s">
        <v>518</v>
      </c>
      <c r="C65" s="141"/>
      <c r="D65" s="118">
        <f t="shared" si="0"/>
        <v>244.17000000000002</v>
      </c>
      <c r="E65" s="118">
        <f t="shared" si="1"/>
        <v>48.83</v>
      </c>
      <c r="F65" s="118">
        <v>293</v>
      </c>
      <c r="G65" s="83"/>
      <c r="H65" s="84"/>
      <c r="I65" s="84"/>
    </row>
    <row r="66" spans="1:9" customFormat="1" hidden="1" outlineLevel="1" x14ac:dyDescent="0.25">
      <c r="A66" s="144" t="s">
        <v>1243</v>
      </c>
      <c r="B66" s="70" t="s">
        <v>519</v>
      </c>
      <c r="C66" s="141" t="s">
        <v>499</v>
      </c>
      <c r="D66" s="118"/>
      <c r="E66" s="118"/>
      <c r="F66" s="118"/>
      <c r="G66" s="83"/>
      <c r="H66" s="84"/>
      <c r="I66" s="84"/>
    </row>
    <row r="67" spans="1:9" customFormat="1" hidden="1" outlineLevel="2" x14ac:dyDescent="0.25">
      <c r="A67" s="442"/>
      <c r="B67" s="70" t="s">
        <v>520</v>
      </c>
      <c r="C67" s="141"/>
      <c r="D67" s="118">
        <f t="shared" si="0"/>
        <v>121.67</v>
      </c>
      <c r="E67" s="118">
        <f t="shared" si="1"/>
        <v>24.33</v>
      </c>
      <c r="F67" s="118">
        <v>146</v>
      </c>
      <c r="G67" s="83"/>
      <c r="H67" s="84"/>
      <c r="I67" s="84"/>
    </row>
    <row r="68" spans="1:9" customFormat="1" hidden="1" outlineLevel="2" x14ac:dyDescent="0.25">
      <c r="A68" s="443"/>
      <c r="B68" s="70" t="s">
        <v>521</v>
      </c>
      <c r="C68" s="141"/>
      <c r="D68" s="118">
        <f t="shared" si="0"/>
        <v>365.83</v>
      </c>
      <c r="E68" s="118">
        <f t="shared" si="1"/>
        <v>73.17</v>
      </c>
      <c r="F68" s="118">
        <v>439</v>
      </c>
      <c r="G68" s="83"/>
      <c r="H68" s="84"/>
      <c r="I68" s="84"/>
    </row>
    <row r="69" spans="1:9" customFormat="1" hidden="1" outlineLevel="2" x14ac:dyDescent="0.25">
      <c r="A69" s="443"/>
      <c r="B69" s="70" t="s">
        <v>522</v>
      </c>
      <c r="C69" s="141"/>
      <c r="D69" s="118">
        <f t="shared" si="0"/>
        <v>610</v>
      </c>
      <c r="E69" s="118">
        <f t="shared" si="1"/>
        <v>122</v>
      </c>
      <c r="F69" s="118">
        <v>732</v>
      </c>
      <c r="G69" s="83"/>
      <c r="H69" s="84"/>
      <c r="I69" s="84"/>
    </row>
    <row r="70" spans="1:9" customFormat="1" hidden="1" outlineLevel="2" x14ac:dyDescent="0.25">
      <c r="A70" s="443"/>
      <c r="B70" s="70" t="s">
        <v>523</v>
      </c>
      <c r="C70" s="141"/>
      <c r="D70" s="118">
        <f t="shared" si="0"/>
        <v>975.83</v>
      </c>
      <c r="E70" s="118">
        <f t="shared" si="1"/>
        <v>195.17</v>
      </c>
      <c r="F70" s="118">
        <v>1171</v>
      </c>
      <c r="G70" s="83"/>
      <c r="H70" s="84"/>
      <c r="I70" s="84"/>
    </row>
    <row r="71" spans="1:9" customFormat="1" hidden="1" outlineLevel="2" x14ac:dyDescent="0.25">
      <c r="A71" s="444"/>
      <c r="B71" s="70" t="s">
        <v>524</v>
      </c>
      <c r="C71" s="141"/>
      <c r="D71" s="118"/>
      <c r="E71" s="118"/>
      <c r="F71" s="118"/>
      <c r="G71" s="83"/>
      <c r="H71" s="84"/>
      <c r="I71" s="84"/>
    </row>
    <row r="72" spans="1:9" customFormat="1" hidden="1" outlineLevel="3" x14ac:dyDescent="0.25">
      <c r="A72" s="86"/>
      <c r="B72" s="90" t="s">
        <v>525</v>
      </c>
      <c r="C72" s="85"/>
      <c r="D72" s="118">
        <f t="shared" si="0"/>
        <v>2391.67</v>
      </c>
      <c r="E72" s="118">
        <f t="shared" si="1"/>
        <v>478.33</v>
      </c>
      <c r="F72" s="123">
        <v>2870</v>
      </c>
      <c r="G72" s="83"/>
      <c r="H72" s="84"/>
      <c r="I72" s="84"/>
    </row>
    <row r="73" spans="1:9" customFormat="1" hidden="1" outlineLevel="3" x14ac:dyDescent="0.25">
      <c r="A73" s="86"/>
      <c r="B73" s="90" t="s">
        <v>526</v>
      </c>
      <c r="C73" s="85"/>
      <c r="D73" s="118">
        <f t="shared" si="0"/>
        <v>3075</v>
      </c>
      <c r="E73" s="118">
        <f t="shared" si="1"/>
        <v>615</v>
      </c>
      <c r="F73" s="123">
        <v>3690</v>
      </c>
      <c r="G73" s="83"/>
      <c r="H73" s="84"/>
      <c r="I73" s="84"/>
    </row>
    <row r="74" spans="1:9" customFormat="1" hidden="1" outlineLevel="3" x14ac:dyDescent="0.25">
      <c r="A74" s="86"/>
      <c r="B74" s="90" t="s">
        <v>527</v>
      </c>
      <c r="C74" s="85"/>
      <c r="D74" s="118">
        <f t="shared" si="0"/>
        <v>3758.33</v>
      </c>
      <c r="E74" s="118">
        <f t="shared" si="1"/>
        <v>751.67</v>
      </c>
      <c r="F74" s="118">
        <v>4510</v>
      </c>
      <c r="G74" s="83"/>
      <c r="H74" s="84"/>
      <c r="I74" s="84"/>
    </row>
    <row r="75" spans="1:9" customFormat="1" hidden="1" outlineLevel="3" x14ac:dyDescent="0.25">
      <c r="A75" s="86"/>
      <c r="B75" s="90" t="s">
        <v>528</v>
      </c>
      <c r="C75" s="85"/>
      <c r="D75" s="118">
        <f t="shared" si="0"/>
        <v>5125</v>
      </c>
      <c r="E75" s="118">
        <f t="shared" si="1"/>
        <v>1025</v>
      </c>
      <c r="F75" s="123">
        <v>6150</v>
      </c>
      <c r="G75" s="83"/>
      <c r="H75" s="84"/>
      <c r="I75" s="84"/>
    </row>
    <row r="76" spans="1:9" customFormat="1" hidden="1" outlineLevel="3" x14ac:dyDescent="0.25">
      <c r="A76" s="86"/>
      <c r="B76" s="90" t="s">
        <v>529</v>
      </c>
      <c r="C76" s="85"/>
      <c r="D76" s="118">
        <f t="shared" si="0"/>
        <v>5808.33</v>
      </c>
      <c r="E76" s="118">
        <f t="shared" si="1"/>
        <v>1161.67</v>
      </c>
      <c r="F76" s="123">
        <v>6970</v>
      </c>
      <c r="G76" s="83"/>
      <c r="H76" s="84"/>
      <c r="I76" s="84"/>
    </row>
    <row r="77" spans="1:9" customFormat="1" hidden="1" outlineLevel="3" x14ac:dyDescent="0.25">
      <c r="A77" s="86"/>
      <c r="B77" s="90" t="s">
        <v>530</v>
      </c>
      <c r="C77" s="85"/>
      <c r="D77" s="118">
        <f t="shared" si="0"/>
        <v>6487.5</v>
      </c>
      <c r="E77" s="118">
        <f t="shared" si="1"/>
        <v>1297.5</v>
      </c>
      <c r="F77" s="123">
        <v>7785</v>
      </c>
      <c r="G77" s="83"/>
      <c r="H77" s="84"/>
      <c r="I77" s="84"/>
    </row>
    <row r="78" spans="1:9" customFormat="1" hidden="1" outlineLevel="3" x14ac:dyDescent="0.25">
      <c r="A78" s="86"/>
      <c r="B78" s="90" t="s">
        <v>531</v>
      </c>
      <c r="C78" s="85"/>
      <c r="D78" s="118">
        <f t="shared" ref="D78:D141" si="2">F78-E78</f>
        <v>7166.67</v>
      </c>
      <c r="E78" s="118">
        <f t="shared" ref="E78:E141" si="3">ROUND(F78*$E$7/$F$7,2)</f>
        <v>1433.33</v>
      </c>
      <c r="F78" s="118">
        <v>8600</v>
      </c>
      <c r="G78" s="83"/>
      <c r="H78" s="84"/>
      <c r="I78" s="84"/>
    </row>
    <row r="79" spans="1:9" customFormat="1" hidden="1" outlineLevel="1" x14ac:dyDescent="0.25">
      <c r="A79" s="144" t="s">
        <v>1244</v>
      </c>
      <c r="B79" s="70" t="s">
        <v>532</v>
      </c>
      <c r="C79" s="141" t="s">
        <v>487</v>
      </c>
      <c r="D79" s="118">
        <f t="shared" si="2"/>
        <v>121.67</v>
      </c>
      <c r="E79" s="118">
        <f t="shared" si="3"/>
        <v>24.33</v>
      </c>
      <c r="F79" s="118">
        <v>146</v>
      </c>
      <c r="G79" s="83"/>
      <c r="H79" s="84"/>
      <c r="I79" s="84"/>
    </row>
    <row r="80" spans="1:9" customFormat="1" hidden="1" outlineLevel="1" x14ac:dyDescent="0.25">
      <c r="A80" s="144" t="s">
        <v>1245</v>
      </c>
      <c r="B80" s="70" t="s">
        <v>533</v>
      </c>
      <c r="C80" s="141" t="s">
        <v>487</v>
      </c>
      <c r="D80" s="118">
        <f t="shared" si="2"/>
        <v>73.33</v>
      </c>
      <c r="E80" s="118">
        <f t="shared" si="3"/>
        <v>14.67</v>
      </c>
      <c r="F80" s="118">
        <v>88</v>
      </c>
      <c r="G80" s="83"/>
      <c r="H80" s="84"/>
      <c r="I80" s="84"/>
    </row>
    <row r="81" spans="1:9" customFormat="1" hidden="1" outlineLevel="1" x14ac:dyDescent="0.25">
      <c r="A81" s="144" t="s">
        <v>1246</v>
      </c>
      <c r="B81" s="70" t="s">
        <v>534</v>
      </c>
      <c r="C81" s="141" t="s">
        <v>499</v>
      </c>
      <c r="D81" s="118">
        <f t="shared" si="2"/>
        <v>121.67</v>
      </c>
      <c r="E81" s="118">
        <f t="shared" si="3"/>
        <v>24.33</v>
      </c>
      <c r="F81" s="118">
        <v>146</v>
      </c>
      <c r="G81" s="83"/>
      <c r="H81" s="84"/>
      <c r="I81" s="84"/>
    </row>
    <row r="82" spans="1:9" customFormat="1" hidden="1" outlineLevel="1" x14ac:dyDescent="0.25">
      <c r="A82" s="144" t="s">
        <v>1247</v>
      </c>
      <c r="B82" s="70" t="s">
        <v>535</v>
      </c>
      <c r="C82" s="141" t="s">
        <v>487</v>
      </c>
      <c r="D82" s="118">
        <f t="shared" si="2"/>
        <v>244.17000000000002</v>
      </c>
      <c r="E82" s="118">
        <f t="shared" si="3"/>
        <v>48.83</v>
      </c>
      <c r="F82" s="118">
        <v>293</v>
      </c>
      <c r="G82" s="83"/>
      <c r="H82" s="84"/>
      <c r="I82" s="84"/>
    </row>
    <row r="83" spans="1:9" customFormat="1" hidden="1" outlineLevel="1" x14ac:dyDescent="0.25">
      <c r="A83" s="144" t="s">
        <v>1248</v>
      </c>
      <c r="B83" s="70" t="s">
        <v>536</v>
      </c>
      <c r="C83" s="141" t="s">
        <v>499</v>
      </c>
      <c r="D83" s="118">
        <f t="shared" si="2"/>
        <v>73.33</v>
      </c>
      <c r="E83" s="118">
        <f t="shared" si="3"/>
        <v>14.67</v>
      </c>
      <c r="F83" s="118">
        <v>88</v>
      </c>
      <c r="G83" s="83"/>
      <c r="H83" s="84"/>
      <c r="I83" s="84"/>
    </row>
    <row r="84" spans="1:9" customFormat="1" hidden="1" outlineLevel="1" x14ac:dyDescent="0.25">
      <c r="A84" s="144" t="s">
        <v>1249</v>
      </c>
      <c r="B84" s="70" t="s">
        <v>537</v>
      </c>
      <c r="C84" s="141" t="s">
        <v>538</v>
      </c>
      <c r="D84" s="118">
        <f t="shared" si="2"/>
        <v>36.67</v>
      </c>
      <c r="E84" s="118">
        <f t="shared" si="3"/>
        <v>7.33</v>
      </c>
      <c r="F84" s="118">
        <v>44</v>
      </c>
      <c r="G84" s="83"/>
      <c r="H84" s="84"/>
      <c r="I84" s="84"/>
    </row>
    <row r="85" spans="1:9" customFormat="1" hidden="1" outlineLevel="1" x14ac:dyDescent="0.25">
      <c r="A85" s="144" t="s">
        <v>1250</v>
      </c>
      <c r="B85" s="70" t="s">
        <v>539</v>
      </c>
      <c r="C85" s="141" t="s">
        <v>487</v>
      </c>
      <c r="D85" s="118"/>
      <c r="E85" s="118"/>
      <c r="F85" s="118"/>
      <c r="G85" s="83"/>
      <c r="H85" s="84"/>
      <c r="I85" s="84"/>
    </row>
    <row r="86" spans="1:9" customFormat="1" hidden="1" outlineLevel="2" x14ac:dyDescent="0.25">
      <c r="A86" s="445"/>
      <c r="B86" s="70" t="s">
        <v>540</v>
      </c>
      <c r="C86" s="141"/>
      <c r="D86" s="118">
        <f t="shared" si="2"/>
        <v>97.5</v>
      </c>
      <c r="E86" s="118">
        <f t="shared" si="3"/>
        <v>19.5</v>
      </c>
      <c r="F86" s="118">
        <v>117</v>
      </c>
      <c r="G86" s="83"/>
      <c r="H86" s="84"/>
      <c r="I86" s="84"/>
    </row>
    <row r="87" spans="1:9" customFormat="1" hidden="1" outlineLevel="2" x14ac:dyDescent="0.25">
      <c r="A87" s="446"/>
      <c r="B87" s="70" t="s">
        <v>541</v>
      </c>
      <c r="C87" s="141"/>
      <c r="D87" s="118">
        <f t="shared" si="2"/>
        <v>145.82999999999998</v>
      </c>
      <c r="E87" s="118">
        <f t="shared" si="3"/>
        <v>29.17</v>
      </c>
      <c r="F87" s="118">
        <v>175</v>
      </c>
      <c r="G87" s="83"/>
      <c r="H87" s="84"/>
      <c r="I87" s="84"/>
    </row>
    <row r="88" spans="1:9" customFormat="1" hidden="1" outlineLevel="1" x14ac:dyDescent="0.25">
      <c r="A88" s="144" t="s">
        <v>1251</v>
      </c>
      <c r="B88" s="70" t="s">
        <v>542</v>
      </c>
      <c r="C88" s="141" t="s">
        <v>543</v>
      </c>
      <c r="D88" s="118">
        <f t="shared" si="2"/>
        <v>121.67</v>
      </c>
      <c r="E88" s="118">
        <f t="shared" si="3"/>
        <v>24.33</v>
      </c>
      <c r="F88" s="118">
        <v>146</v>
      </c>
      <c r="G88" s="83"/>
      <c r="H88" s="84"/>
      <c r="I88" s="84"/>
    </row>
    <row r="89" spans="1:9" customFormat="1" hidden="1" outlineLevel="1" x14ac:dyDescent="0.25">
      <c r="A89" s="144" t="s">
        <v>1252</v>
      </c>
      <c r="B89" s="70" t="s">
        <v>544</v>
      </c>
      <c r="C89" s="141" t="s">
        <v>6</v>
      </c>
      <c r="D89" s="118">
        <f t="shared" si="2"/>
        <v>121.67</v>
      </c>
      <c r="E89" s="118">
        <f t="shared" si="3"/>
        <v>24.33</v>
      </c>
      <c r="F89" s="118">
        <v>146</v>
      </c>
      <c r="G89" s="83"/>
      <c r="H89" s="84"/>
      <c r="I89" s="84"/>
    </row>
    <row r="90" spans="1:9" customFormat="1" hidden="1" outlineLevel="1" x14ac:dyDescent="0.25">
      <c r="A90" s="144" t="s">
        <v>1253</v>
      </c>
      <c r="B90" s="70" t="s">
        <v>545</v>
      </c>
      <c r="C90" s="141" t="s">
        <v>6</v>
      </c>
      <c r="D90" s="118">
        <f t="shared" si="2"/>
        <v>97.5</v>
      </c>
      <c r="E90" s="118">
        <f t="shared" si="3"/>
        <v>19.5</v>
      </c>
      <c r="F90" s="118">
        <v>117</v>
      </c>
      <c r="G90" s="83"/>
      <c r="H90" s="84"/>
      <c r="I90" s="84"/>
    </row>
    <row r="91" spans="1:9" customFormat="1" hidden="1" outlineLevel="1" x14ac:dyDescent="0.25">
      <c r="A91" s="144" t="s">
        <v>1254</v>
      </c>
      <c r="B91" s="70" t="s">
        <v>546</v>
      </c>
      <c r="C91" s="141"/>
      <c r="D91" s="118"/>
      <c r="E91" s="118"/>
      <c r="F91" s="118"/>
      <c r="G91" s="83"/>
      <c r="H91" s="84"/>
      <c r="I91" s="84"/>
    </row>
    <row r="92" spans="1:9" customFormat="1" hidden="1" outlineLevel="2" x14ac:dyDescent="0.25">
      <c r="A92" s="442"/>
      <c r="B92" s="70" t="s">
        <v>547</v>
      </c>
      <c r="C92" s="141" t="s">
        <v>6</v>
      </c>
      <c r="D92" s="118">
        <f t="shared" si="2"/>
        <v>244.17000000000002</v>
      </c>
      <c r="E92" s="118">
        <f t="shared" si="3"/>
        <v>48.83</v>
      </c>
      <c r="F92" s="118">
        <v>293</v>
      </c>
      <c r="G92" s="83"/>
      <c r="H92" s="84"/>
      <c r="I92" s="84"/>
    </row>
    <row r="93" spans="1:9" customFormat="1" hidden="1" outlineLevel="2" x14ac:dyDescent="0.25">
      <c r="A93" s="443"/>
      <c r="B93" s="70" t="s">
        <v>548</v>
      </c>
      <c r="C93" s="141" t="s">
        <v>549</v>
      </c>
      <c r="D93" s="118">
        <f t="shared" si="2"/>
        <v>185</v>
      </c>
      <c r="E93" s="118">
        <f t="shared" si="3"/>
        <v>37</v>
      </c>
      <c r="F93" s="118">
        <v>222</v>
      </c>
      <c r="G93" s="83"/>
      <c r="H93" s="84"/>
      <c r="I93" s="84"/>
    </row>
    <row r="94" spans="1:9" customFormat="1" hidden="1" outlineLevel="2" x14ac:dyDescent="0.25">
      <c r="A94" s="444"/>
      <c r="B94" s="70" t="s">
        <v>550</v>
      </c>
      <c r="C94" s="141" t="s">
        <v>549</v>
      </c>
      <c r="D94" s="118">
        <f t="shared" si="2"/>
        <v>217.5</v>
      </c>
      <c r="E94" s="118">
        <f t="shared" si="3"/>
        <v>43.5</v>
      </c>
      <c r="F94" s="118">
        <v>261</v>
      </c>
      <c r="G94" s="83"/>
      <c r="H94" s="84"/>
      <c r="I94" s="84"/>
    </row>
    <row r="95" spans="1:9" customFormat="1" hidden="1" outlineLevel="1" x14ac:dyDescent="0.25">
      <c r="A95" s="144" t="s">
        <v>1255</v>
      </c>
      <c r="B95" s="70" t="s">
        <v>551</v>
      </c>
      <c r="C95" s="141" t="s">
        <v>6</v>
      </c>
      <c r="D95" s="118">
        <f t="shared" si="2"/>
        <v>97.5</v>
      </c>
      <c r="E95" s="118">
        <f t="shared" si="3"/>
        <v>19.5</v>
      </c>
      <c r="F95" s="118">
        <v>117</v>
      </c>
      <c r="G95" s="83"/>
      <c r="H95" s="84"/>
      <c r="I95" s="84"/>
    </row>
    <row r="96" spans="1:9" customFormat="1" hidden="1" outlineLevel="1" x14ac:dyDescent="0.25">
      <c r="A96" s="144" t="s">
        <v>1256</v>
      </c>
      <c r="B96" s="70" t="s">
        <v>552</v>
      </c>
      <c r="C96" s="141" t="s">
        <v>543</v>
      </c>
      <c r="D96" s="118">
        <f t="shared" si="2"/>
        <v>46.67</v>
      </c>
      <c r="E96" s="118">
        <f t="shared" si="3"/>
        <v>9.33</v>
      </c>
      <c r="F96" s="118">
        <v>56</v>
      </c>
      <c r="G96" s="83"/>
      <c r="H96" s="84"/>
      <c r="I96" s="84"/>
    </row>
    <row r="97" spans="1:9" customFormat="1" ht="31.5" hidden="1" outlineLevel="1" x14ac:dyDescent="0.25">
      <c r="A97" s="144" t="s">
        <v>1257</v>
      </c>
      <c r="B97" s="70" t="s">
        <v>553</v>
      </c>
      <c r="C97" s="141" t="s">
        <v>549</v>
      </c>
      <c r="D97" s="118">
        <f t="shared" si="2"/>
        <v>145.82999999999998</v>
      </c>
      <c r="E97" s="118">
        <f t="shared" si="3"/>
        <v>29.17</v>
      </c>
      <c r="F97" s="118">
        <v>175</v>
      </c>
      <c r="G97" s="83"/>
      <c r="H97" s="84"/>
      <c r="I97" s="84"/>
    </row>
    <row r="98" spans="1:9" customFormat="1" hidden="1" outlineLevel="1" x14ac:dyDescent="0.25">
      <c r="A98" s="144" t="s">
        <v>1258</v>
      </c>
      <c r="B98" s="70" t="s">
        <v>554</v>
      </c>
      <c r="C98" s="141" t="s">
        <v>6</v>
      </c>
      <c r="D98" s="118">
        <f t="shared" si="2"/>
        <v>121.67</v>
      </c>
      <c r="E98" s="118">
        <f t="shared" si="3"/>
        <v>24.33</v>
      </c>
      <c r="F98" s="118">
        <v>146</v>
      </c>
      <c r="G98" s="83"/>
      <c r="H98" s="84"/>
      <c r="I98" s="84"/>
    </row>
    <row r="99" spans="1:9" customFormat="1" hidden="1" outlineLevel="1" x14ac:dyDescent="0.25">
      <c r="A99" s="144" t="s">
        <v>1259</v>
      </c>
      <c r="B99" s="70" t="s">
        <v>555</v>
      </c>
      <c r="C99" s="141" t="s">
        <v>6</v>
      </c>
      <c r="D99" s="118">
        <f t="shared" si="2"/>
        <v>244.17000000000002</v>
      </c>
      <c r="E99" s="118">
        <f t="shared" si="3"/>
        <v>48.83</v>
      </c>
      <c r="F99" s="118">
        <v>293</v>
      </c>
      <c r="G99" s="83"/>
      <c r="H99" s="84"/>
      <c r="I99" s="84"/>
    </row>
    <row r="100" spans="1:9" customFormat="1" hidden="1" outlineLevel="1" x14ac:dyDescent="0.25">
      <c r="A100" s="144" t="s">
        <v>1260</v>
      </c>
      <c r="B100" s="70" t="s">
        <v>556</v>
      </c>
      <c r="C100" s="141" t="s">
        <v>557</v>
      </c>
      <c r="D100" s="118"/>
      <c r="E100" s="118"/>
      <c r="F100" s="118"/>
      <c r="G100" s="83"/>
      <c r="H100" s="84"/>
      <c r="I100" s="84"/>
    </row>
    <row r="101" spans="1:9" customFormat="1" hidden="1" outlineLevel="2" x14ac:dyDescent="0.25">
      <c r="A101" s="442"/>
      <c r="B101" s="70" t="s">
        <v>558</v>
      </c>
      <c r="C101" s="141"/>
      <c r="D101" s="118">
        <f t="shared" si="2"/>
        <v>68.33</v>
      </c>
      <c r="E101" s="118">
        <f t="shared" si="3"/>
        <v>13.67</v>
      </c>
      <c r="F101" s="118">
        <v>82</v>
      </c>
      <c r="G101" s="83"/>
      <c r="H101" s="84"/>
      <c r="I101" s="84"/>
    </row>
    <row r="102" spans="1:9" customFormat="1" hidden="1" outlineLevel="2" x14ac:dyDescent="0.25">
      <c r="A102" s="443"/>
      <c r="B102" s="70" t="s">
        <v>559</v>
      </c>
      <c r="C102" s="141"/>
      <c r="D102" s="118">
        <f t="shared" si="2"/>
        <v>105.83</v>
      </c>
      <c r="E102" s="118">
        <f t="shared" si="3"/>
        <v>21.17</v>
      </c>
      <c r="F102" s="118">
        <v>127</v>
      </c>
      <c r="G102" s="83"/>
      <c r="H102" s="84"/>
      <c r="I102" s="84"/>
    </row>
    <row r="103" spans="1:9" customFormat="1" hidden="1" outlineLevel="2" x14ac:dyDescent="0.25">
      <c r="A103" s="443"/>
      <c r="B103" s="70" t="s">
        <v>560</v>
      </c>
      <c r="C103" s="141"/>
      <c r="D103" s="118">
        <f t="shared" si="2"/>
        <v>65</v>
      </c>
      <c r="E103" s="118">
        <f t="shared" si="3"/>
        <v>13</v>
      </c>
      <c r="F103" s="118">
        <v>78</v>
      </c>
      <c r="G103" s="83"/>
      <c r="H103" s="84"/>
      <c r="I103" s="84"/>
    </row>
    <row r="104" spans="1:9" customFormat="1" hidden="1" outlineLevel="2" x14ac:dyDescent="0.25">
      <c r="A104" s="443"/>
      <c r="B104" s="70" t="s">
        <v>561</v>
      </c>
      <c r="C104" s="141"/>
      <c r="D104" s="118">
        <f t="shared" si="2"/>
        <v>68.33</v>
      </c>
      <c r="E104" s="118">
        <f t="shared" si="3"/>
        <v>13.67</v>
      </c>
      <c r="F104" s="118">
        <v>82</v>
      </c>
      <c r="G104" s="83"/>
      <c r="H104" s="84"/>
      <c r="I104" s="84"/>
    </row>
    <row r="105" spans="1:9" customFormat="1" hidden="1" outlineLevel="2" x14ac:dyDescent="0.25">
      <c r="A105" s="443"/>
      <c r="B105" s="70" t="s">
        <v>562</v>
      </c>
      <c r="C105" s="141"/>
      <c r="D105" s="118">
        <f t="shared" si="2"/>
        <v>85.83</v>
      </c>
      <c r="E105" s="118">
        <f t="shared" si="3"/>
        <v>17.170000000000002</v>
      </c>
      <c r="F105" s="118">
        <v>103</v>
      </c>
      <c r="G105" s="83"/>
      <c r="H105" s="84"/>
      <c r="I105" s="84"/>
    </row>
    <row r="106" spans="1:9" customFormat="1" hidden="1" outlineLevel="2" x14ac:dyDescent="0.25">
      <c r="A106" s="443"/>
      <c r="B106" s="70" t="s">
        <v>563</v>
      </c>
      <c r="C106" s="141"/>
      <c r="D106" s="118">
        <f t="shared" si="2"/>
        <v>103.33</v>
      </c>
      <c r="E106" s="118">
        <f t="shared" si="3"/>
        <v>20.67</v>
      </c>
      <c r="F106" s="118">
        <v>124</v>
      </c>
      <c r="G106" s="83"/>
      <c r="H106" s="84"/>
      <c r="I106" s="84"/>
    </row>
    <row r="107" spans="1:9" customFormat="1" hidden="1" outlineLevel="2" x14ac:dyDescent="0.25">
      <c r="A107" s="443"/>
      <c r="B107" s="70" t="s">
        <v>564</v>
      </c>
      <c r="C107" s="141"/>
      <c r="D107" s="118">
        <f t="shared" si="2"/>
        <v>135.82999999999998</v>
      </c>
      <c r="E107" s="118">
        <f t="shared" si="3"/>
        <v>27.17</v>
      </c>
      <c r="F107" s="118">
        <v>163</v>
      </c>
      <c r="G107" s="83"/>
      <c r="H107" s="84"/>
      <c r="I107" s="84"/>
    </row>
    <row r="108" spans="1:9" customFormat="1" hidden="1" outlineLevel="2" x14ac:dyDescent="0.25">
      <c r="A108" s="443"/>
      <c r="B108" s="70" t="s">
        <v>565</v>
      </c>
      <c r="C108" s="141"/>
      <c r="D108" s="118">
        <f t="shared" si="2"/>
        <v>105.83</v>
      </c>
      <c r="E108" s="118">
        <f t="shared" si="3"/>
        <v>21.17</v>
      </c>
      <c r="F108" s="118">
        <v>127</v>
      </c>
      <c r="G108" s="83"/>
      <c r="H108" s="84"/>
      <c r="I108" s="84"/>
    </row>
    <row r="109" spans="1:9" customFormat="1" hidden="1" outlineLevel="2" x14ac:dyDescent="0.25">
      <c r="A109" s="443"/>
      <c r="B109" s="70" t="s">
        <v>566</v>
      </c>
      <c r="C109" s="141"/>
      <c r="D109" s="118">
        <f t="shared" si="2"/>
        <v>160</v>
      </c>
      <c r="E109" s="118">
        <f t="shared" si="3"/>
        <v>32</v>
      </c>
      <c r="F109" s="118">
        <v>192</v>
      </c>
      <c r="G109" s="83"/>
      <c r="H109" s="84"/>
      <c r="I109" s="84"/>
    </row>
    <row r="110" spans="1:9" customFormat="1" hidden="1" outlineLevel="2" x14ac:dyDescent="0.25">
      <c r="A110" s="443"/>
      <c r="B110" s="70" t="s">
        <v>567</v>
      </c>
      <c r="C110" s="141"/>
      <c r="D110" s="118">
        <f t="shared" si="2"/>
        <v>214.17000000000002</v>
      </c>
      <c r="E110" s="118">
        <f t="shared" si="3"/>
        <v>42.83</v>
      </c>
      <c r="F110" s="118">
        <v>257</v>
      </c>
      <c r="G110" s="83"/>
      <c r="H110" s="84"/>
      <c r="I110" s="84"/>
    </row>
    <row r="111" spans="1:9" customFormat="1" hidden="1" outlineLevel="2" x14ac:dyDescent="0.25">
      <c r="A111" s="444"/>
      <c r="B111" s="70" t="s">
        <v>568</v>
      </c>
      <c r="C111" s="141"/>
      <c r="D111" s="118">
        <f t="shared" si="2"/>
        <v>270.83</v>
      </c>
      <c r="E111" s="118">
        <f t="shared" si="3"/>
        <v>54.17</v>
      </c>
      <c r="F111" s="118">
        <v>325</v>
      </c>
      <c r="G111" s="83"/>
      <c r="H111" s="84"/>
      <c r="I111" s="84"/>
    </row>
    <row r="112" spans="1:9" customFormat="1" hidden="1" outlineLevel="1" x14ac:dyDescent="0.25">
      <c r="A112" s="144" t="s">
        <v>1261</v>
      </c>
      <c r="B112" s="70" t="s">
        <v>569</v>
      </c>
      <c r="C112" s="141" t="s">
        <v>557</v>
      </c>
      <c r="D112" s="118"/>
      <c r="E112" s="118"/>
      <c r="F112" s="118"/>
      <c r="G112" s="83"/>
      <c r="H112" s="84"/>
      <c r="I112" s="84"/>
    </row>
    <row r="113" spans="1:9" customFormat="1" hidden="1" outlineLevel="2" x14ac:dyDescent="0.25">
      <c r="A113" s="442"/>
      <c r="B113" s="70" t="s">
        <v>994</v>
      </c>
      <c r="C113" s="141"/>
      <c r="D113" s="118">
        <f t="shared" si="2"/>
        <v>99.17</v>
      </c>
      <c r="E113" s="118">
        <f t="shared" si="3"/>
        <v>19.829999999999998</v>
      </c>
      <c r="F113" s="118">
        <v>119</v>
      </c>
      <c r="G113" s="83"/>
      <c r="H113" s="84"/>
      <c r="I113" s="84"/>
    </row>
    <row r="114" spans="1:9" customFormat="1" hidden="1" outlineLevel="2" x14ac:dyDescent="0.25">
      <c r="A114" s="443"/>
      <c r="B114" s="70" t="s">
        <v>995</v>
      </c>
      <c r="C114" s="141"/>
      <c r="D114" s="118">
        <f t="shared" si="2"/>
        <v>180.82999999999998</v>
      </c>
      <c r="E114" s="118">
        <f t="shared" si="3"/>
        <v>36.17</v>
      </c>
      <c r="F114" s="118">
        <v>217</v>
      </c>
      <c r="G114" s="83"/>
      <c r="H114" s="84"/>
      <c r="I114" s="84"/>
    </row>
    <row r="115" spans="1:9" customFormat="1" hidden="1" outlineLevel="2" x14ac:dyDescent="0.25">
      <c r="A115" s="443"/>
      <c r="B115" s="70" t="s">
        <v>996</v>
      </c>
      <c r="C115" s="141"/>
      <c r="D115" s="118">
        <f t="shared" si="2"/>
        <v>144.17000000000002</v>
      </c>
      <c r="E115" s="118">
        <f t="shared" si="3"/>
        <v>28.83</v>
      </c>
      <c r="F115" s="118">
        <v>173</v>
      </c>
      <c r="G115" s="83"/>
      <c r="H115" s="84"/>
      <c r="I115" s="84"/>
    </row>
    <row r="116" spans="1:9" customFormat="1" hidden="1" outlineLevel="2" x14ac:dyDescent="0.25">
      <c r="A116" s="443"/>
      <c r="B116" s="70" t="s">
        <v>997</v>
      </c>
      <c r="C116" s="141"/>
      <c r="D116" s="118">
        <f t="shared" si="2"/>
        <v>150</v>
      </c>
      <c r="E116" s="118">
        <f t="shared" si="3"/>
        <v>30</v>
      </c>
      <c r="F116" s="118">
        <v>180</v>
      </c>
      <c r="G116" s="83"/>
      <c r="H116" s="84"/>
      <c r="I116" s="84"/>
    </row>
    <row r="117" spans="1:9" customFormat="1" hidden="1" outlineLevel="2" x14ac:dyDescent="0.25">
      <c r="A117" s="443"/>
      <c r="B117" s="70" t="s">
        <v>998</v>
      </c>
      <c r="C117" s="141"/>
      <c r="D117" s="118">
        <f t="shared" si="2"/>
        <v>157.5</v>
      </c>
      <c r="E117" s="118">
        <f t="shared" si="3"/>
        <v>31.5</v>
      </c>
      <c r="F117" s="118">
        <v>189</v>
      </c>
      <c r="G117" s="83"/>
      <c r="H117" s="84"/>
      <c r="I117" s="84"/>
    </row>
    <row r="118" spans="1:9" customFormat="1" hidden="1" outlineLevel="2" x14ac:dyDescent="0.25">
      <c r="A118" s="443"/>
      <c r="B118" s="70" t="s">
        <v>999</v>
      </c>
      <c r="C118" s="141"/>
      <c r="D118" s="118">
        <f t="shared" si="2"/>
        <v>220.82999999999998</v>
      </c>
      <c r="E118" s="118">
        <f t="shared" si="3"/>
        <v>44.17</v>
      </c>
      <c r="F118" s="118">
        <v>265</v>
      </c>
      <c r="G118" s="83"/>
      <c r="H118" s="84"/>
      <c r="I118" s="84"/>
    </row>
    <row r="119" spans="1:9" customFormat="1" hidden="1" outlineLevel="2" x14ac:dyDescent="0.25">
      <c r="A119" s="443"/>
      <c r="B119" s="70" t="s">
        <v>1000</v>
      </c>
      <c r="C119" s="141"/>
      <c r="D119" s="118">
        <f t="shared" si="2"/>
        <v>451.67</v>
      </c>
      <c r="E119" s="118">
        <f t="shared" si="3"/>
        <v>90.33</v>
      </c>
      <c r="F119" s="118">
        <v>542</v>
      </c>
      <c r="G119" s="83"/>
      <c r="H119" s="84"/>
      <c r="I119" s="84"/>
    </row>
    <row r="120" spans="1:9" customFormat="1" hidden="1" outlineLevel="2" x14ac:dyDescent="0.25">
      <c r="A120" s="443"/>
      <c r="B120" s="70" t="s">
        <v>1001</v>
      </c>
      <c r="C120" s="141"/>
      <c r="D120" s="118">
        <f t="shared" si="2"/>
        <v>481.67</v>
      </c>
      <c r="E120" s="118">
        <f t="shared" si="3"/>
        <v>96.33</v>
      </c>
      <c r="F120" s="118">
        <v>578</v>
      </c>
      <c r="G120" s="83"/>
      <c r="H120" s="84"/>
      <c r="I120" s="84"/>
    </row>
    <row r="121" spans="1:9" customFormat="1" hidden="1" outlineLevel="2" x14ac:dyDescent="0.25">
      <c r="A121" s="443"/>
      <c r="B121" s="70" t="s">
        <v>1002</v>
      </c>
      <c r="C121" s="141"/>
      <c r="D121" s="118">
        <f t="shared" si="2"/>
        <v>488.33</v>
      </c>
      <c r="E121" s="118">
        <f t="shared" si="3"/>
        <v>97.67</v>
      </c>
      <c r="F121" s="118">
        <v>586</v>
      </c>
      <c r="G121" s="83"/>
      <c r="H121" s="84"/>
      <c r="I121" s="84"/>
    </row>
    <row r="122" spans="1:9" customFormat="1" hidden="1" outlineLevel="2" x14ac:dyDescent="0.25">
      <c r="A122" s="443"/>
      <c r="B122" s="70" t="s">
        <v>1003</v>
      </c>
      <c r="C122" s="141"/>
      <c r="D122" s="118">
        <f t="shared" si="2"/>
        <v>641.66999999999996</v>
      </c>
      <c r="E122" s="118">
        <f t="shared" si="3"/>
        <v>128.33000000000001</v>
      </c>
      <c r="F122" s="118">
        <v>770</v>
      </c>
      <c r="G122" s="83"/>
      <c r="H122" s="84"/>
      <c r="I122" s="84"/>
    </row>
    <row r="123" spans="1:9" customFormat="1" hidden="1" outlineLevel="2" x14ac:dyDescent="0.25">
      <c r="A123" s="443"/>
      <c r="B123" s="70" t="s">
        <v>570</v>
      </c>
      <c r="C123" s="141"/>
      <c r="D123" s="118">
        <f t="shared" si="2"/>
        <v>99.17</v>
      </c>
      <c r="E123" s="118">
        <f t="shared" si="3"/>
        <v>19.829999999999998</v>
      </c>
      <c r="F123" s="118">
        <v>119</v>
      </c>
      <c r="G123" s="83"/>
      <c r="H123" s="84"/>
      <c r="I123" s="84"/>
    </row>
    <row r="124" spans="1:9" customFormat="1" hidden="1" outlineLevel="2" x14ac:dyDescent="0.25">
      <c r="A124" s="444"/>
      <c r="B124" s="70" t="s">
        <v>571</v>
      </c>
      <c r="C124" s="141"/>
      <c r="D124" s="118">
        <f t="shared" si="2"/>
        <v>144.17000000000002</v>
      </c>
      <c r="E124" s="118">
        <f t="shared" si="3"/>
        <v>28.83</v>
      </c>
      <c r="F124" s="118">
        <v>173</v>
      </c>
      <c r="G124" s="83"/>
      <c r="H124" s="84"/>
      <c r="I124" s="84"/>
    </row>
    <row r="125" spans="1:9" customFormat="1" hidden="1" outlineLevel="1" x14ac:dyDescent="0.25">
      <c r="A125" s="144" t="s">
        <v>1262</v>
      </c>
      <c r="B125" s="70" t="s">
        <v>572</v>
      </c>
      <c r="C125" s="141" t="s">
        <v>543</v>
      </c>
      <c r="D125" s="118">
        <f t="shared" si="2"/>
        <v>121.67</v>
      </c>
      <c r="E125" s="118">
        <f t="shared" si="3"/>
        <v>24.33</v>
      </c>
      <c r="F125" s="118">
        <v>146</v>
      </c>
      <c r="G125" s="83"/>
      <c r="H125" s="84"/>
      <c r="I125" s="84"/>
    </row>
    <row r="126" spans="1:9" customFormat="1" hidden="1" outlineLevel="1" x14ac:dyDescent="0.25">
      <c r="A126" s="144" t="s">
        <v>1263</v>
      </c>
      <c r="B126" s="70" t="s">
        <v>573</v>
      </c>
      <c r="C126" s="141" t="s">
        <v>543</v>
      </c>
      <c r="D126" s="118">
        <f t="shared" si="2"/>
        <v>195.82999999999998</v>
      </c>
      <c r="E126" s="118">
        <f t="shared" si="3"/>
        <v>39.17</v>
      </c>
      <c r="F126" s="118">
        <v>235</v>
      </c>
      <c r="G126" s="83"/>
      <c r="H126" s="84"/>
      <c r="I126" s="84"/>
    </row>
    <row r="127" spans="1:9" customFormat="1" hidden="1" outlineLevel="1" x14ac:dyDescent="0.25">
      <c r="A127" s="144" t="s">
        <v>1264</v>
      </c>
      <c r="B127" s="70" t="s">
        <v>574</v>
      </c>
      <c r="C127" s="141" t="s">
        <v>543</v>
      </c>
      <c r="D127" s="118">
        <f t="shared" si="2"/>
        <v>170.82999999999998</v>
      </c>
      <c r="E127" s="118">
        <f t="shared" si="3"/>
        <v>34.17</v>
      </c>
      <c r="F127" s="118">
        <v>205</v>
      </c>
      <c r="G127" s="83"/>
      <c r="H127" s="84"/>
      <c r="I127" s="84"/>
    </row>
    <row r="128" spans="1:9" customFormat="1" hidden="1" outlineLevel="1" x14ac:dyDescent="0.25">
      <c r="A128" s="144" t="s">
        <v>1265</v>
      </c>
      <c r="B128" s="70" t="s">
        <v>575</v>
      </c>
      <c r="C128" s="141" t="s">
        <v>576</v>
      </c>
      <c r="D128" s="118">
        <f t="shared" si="2"/>
        <v>97.5</v>
      </c>
      <c r="E128" s="118">
        <f t="shared" si="3"/>
        <v>19.5</v>
      </c>
      <c r="F128" s="118">
        <v>117</v>
      </c>
      <c r="G128" s="83"/>
      <c r="H128" s="84"/>
      <c r="I128" s="84"/>
    </row>
    <row r="129" spans="1:9" customFormat="1" hidden="1" outlineLevel="1" x14ac:dyDescent="0.25">
      <c r="A129" s="144" t="s">
        <v>1266</v>
      </c>
      <c r="B129" s="70" t="s">
        <v>577</v>
      </c>
      <c r="C129" s="141" t="s">
        <v>487</v>
      </c>
      <c r="D129" s="118"/>
      <c r="E129" s="118"/>
      <c r="F129" s="118"/>
      <c r="G129" s="83"/>
      <c r="H129" s="84"/>
      <c r="I129" s="84"/>
    </row>
    <row r="130" spans="1:9" customFormat="1" hidden="1" outlineLevel="2" x14ac:dyDescent="0.25">
      <c r="A130" s="442"/>
      <c r="B130" s="70" t="s">
        <v>990</v>
      </c>
      <c r="C130" s="141"/>
      <c r="D130" s="118">
        <f t="shared" si="2"/>
        <v>453.33</v>
      </c>
      <c r="E130" s="118">
        <f t="shared" si="3"/>
        <v>90.67</v>
      </c>
      <c r="F130" s="118">
        <v>544</v>
      </c>
      <c r="G130" s="83"/>
      <c r="H130" s="84"/>
      <c r="I130" s="84"/>
    </row>
    <row r="131" spans="1:9" customFormat="1" hidden="1" outlineLevel="2" x14ac:dyDescent="0.25">
      <c r="A131" s="443"/>
      <c r="B131" s="70" t="s">
        <v>991</v>
      </c>
      <c r="C131" s="141"/>
      <c r="D131" s="118">
        <f t="shared" si="2"/>
        <v>614.16999999999996</v>
      </c>
      <c r="E131" s="118">
        <f t="shared" si="3"/>
        <v>122.83</v>
      </c>
      <c r="F131" s="118">
        <v>737</v>
      </c>
      <c r="G131" s="83"/>
      <c r="H131" s="84"/>
      <c r="I131" s="84"/>
    </row>
    <row r="132" spans="1:9" customFormat="1" hidden="1" outlineLevel="2" x14ac:dyDescent="0.25">
      <c r="A132" s="443"/>
      <c r="B132" s="70" t="s">
        <v>992</v>
      </c>
      <c r="C132" s="141"/>
      <c r="D132" s="118">
        <f t="shared" si="2"/>
        <v>710.83</v>
      </c>
      <c r="E132" s="118">
        <f t="shared" si="3"/>
        <v>142.16999999999999</v>
      </c>
      <c r="F132" s="118">
        <v>853</v>
      </c>
      <c r="G132" s="83"/>
      <c r="H132" s="84"/>
      <c r="I132" s="84"/>
    </row>
    <row r="133" spans="1:9" customFormat="1" hidden="1" outlineLevel="2" x14ac:dyDescent="0.25">
      <c r="A133" s="444"/>
      <c r="B133" s="70" t="s">
        <v>993</v>
      </c>
      <c r="C133" s="141"/>
      <c r="D133" s="118">
        <f t="shared" si="2"/>
        <v>975.83</v>
      </c>
      <c r="E133" s="118">
        <f t="shared" si="3"/>
        <v>195.17</v>
      </c>
      <c r="F133" s="118">
        <v>1171</v>
      </c>
      <c r="G133" s="83"/>
      <c r="H133" s="84"/>
      <c r="I133" s="84"/>
    </row>
    <row r="134" spans="1:9" customFormat="1" hidden="1" outlineLevel="1" x14ac:dyDescent="0.25">
      <c r="A134" s="144" t="s">
        <v>1267</v>
      </c>
      <c r="B134" s="70" t="s">
        <v>578</v>
      </c>
      <c r="C134" s="141" t="s">
        <v>579</v>
      </c>
      <c r="D134" s="118">
        <f t="shared" si="2"/>
        <v>145.82999999999998</v>
      </c>
      <c r="E134" s="118">
        <f t="shared" si="3"/>
        <v>29.17</v>
      </c>
      <c r="F134" s="118">
        <v>175</v>
      </c>
      <c r="G134" s="83"/>
      <c r="H134" s="84"/>
      <c r="I134" s="84"/>
    </row>
    <row r="135" spans="1:9" customFormat="1" hidden="1" outlineLevel="1" x14ac:dyDescent="0.25">
      <c r="A135" s="144" t="s">
        <v>1268</v>
      </c>
      <c r="B135" s="70" t="s">
        <v>580</v>
      </c>
      <c r="C135" s="141" t="s">
        <v>549</v>
      </c>
      <c r="D135" s="118">
        <f t="shared" si="2"/>
        <v>73.33</v>
      </c>
      <c r="E135" s="118">
        <f t="shared" si="3"/>
        <v>14.67</v>
      </c>
      <c r="F135" s="118">
        <v>88</v>
      </c>
      <c r="G135" s="83"/>
      <c r="H135" s="84"/>
      <c r="I135" s="84"/>
    </row>
    <row r="136" spans="1:9" customFormat="1" hidden="1" outlineLevel="1" x14ac:dyDescent="0.25">
      <c r="A136" s="144" t="s">
        <v>1269</v>
      </c>
      <c r="B136" s="70" t="s">
        <v>581</v>
      </c>
      <c r="C136" s="141" t="s">
        <v>487</v>
      </c>
      <c r="D136" s="118">
        <f t="shared" si="2"/>
        <v>170.82999999999998</v>
      </c>
      <c r="E136" s="118">
        <f t="shared" si="3"/>
        <v>34.17</v>
      </c>
      <c r="F136" s="118">
        <v>205</v>
      </c>
      <c r="G136" s="83"/>
      <c r="H136" s="84"/>
      <c r="I136" s="84"/>
    </row>
    <row r="137" spans="1:9" customFormat="1" hidden="1" outlineLevel="1" x14ac:dyDescent="0.25">
      <c r="A137" s="144" t="s">
        <v>1270</v>
      </c>
      <c r="B137" s="70" t="s">
        <v>582</v>
      </c>
      <c r="C137" s="141" t="s">
        <v>487</v>
      </c>
      <c r="D137" s="118">
        <f t="shared" si="2"/>
        <v>225.82999999999998</v>
      </c>
      <c r="E137" s="118">
        <f t="shared" si="3"/>
        <v>45.17</v>
      </c>
      <c r="F137" s="118">
        <v>271</v>
      </c>
      <c r="G137" s="83"/>
      <c r="H137" s="84"/>
      <c r="I137" s="84"/>
    </row>
    <row r="138" spans="1:9" customFormat="1" ht="31.5" hidden="1" outlineLevel="1" x14ac:dyDescent="0.25">
      <c r="A138" s="144" t="s">
        <v>1271</v>
      </c>
      <c r="B138" s="70" t="s">
        <v>583</v>
      </c>
      <c r="C138" s="141" t="s">
        <v>487</v>
      </c>
      <c r="D138" s="118">
        <f t="shared" si="2"/>
        <v>406.67</v>
      </c>
      <c r="E138" s="118">
        <f t="shared" si="3"/>
        <v>81.33</v>
      </c>
      <c r="F138" s="118">
        <v>488</v>
      </c>
      <c r="G138" s="83"/>
      <c r="H138" s="84"/>
      <c r="I138" s="84"/>
    </row>
    <row r="139" spans="1:9" customFormat="1" ht="31.5" hidden="1" outlineLevel="2" x14ac:dyDescent="0.25">
      <c r="A139" s="144" t="s">
        <v>1272</v>
      </c>
      <c r="B139" s="70" t="s">
        <v>584</v>
      </c>
      <c r="C139" s="141" t="s">
        <v>487</v>
      </c>
      <c r="D139" s="118"/>
      <c r="E139" s="118"/>
      <c r="F139" s="118"/>
      <c r="G139" s="83"/>
      <c r="H139" s="84"/>
      <c r="I139" s="84"/>
    </row>
    <row r="140" spans="1:9" customFormat="1" hidden="1" outlineLevel="2" x14ac:dyDescent="0.25">
      <c r="A140" s="144"/>
      <c r="B140" s="70" t="s">
        <v>1273</v>
      </c>
      <c r="C140" s="141"/>
      <c r="D140" s="118"/>
      <c r="E140" s="118"/>
      <c r="F140" s="118"/>
      <c r="G140" s="83"/>
      <c r="H140" s="84"/>
      <c r="I140" s="84"/>
    </row>
    <row r="141" spans="1:9" customFormat="1" hidden="1" outlineLevel="3" x14ac:dyDescent="0.25">
      <c r="A141" s="442"/>
      <c r="B141" s="70" t="s">
        <v>585</v>
      </c>
      <c r="C141" s="141"/>
      <c r="D141" s="118">
        <f t="shared" si="2"/>
        <v>408.33</v>
      </c>
      <c r="E141" s="118">
        <f t="shared" si="3"/>
        <v>81.67</v>
      </c>
      <c r="F141" s="118">
        <v>490</v>
      </c>
      <c r="G141" s="83"/>
      <c r="H141" s="84"/>
      <c r="I141" s="84"/>
    </row>
    <row r="142" spans="1:9" customFormat="1" hidden="1" outlineLevel="3" x14ac:dyDescent="0.25">
      <c r="A142" s="443"/>
      <c r="B142" s="70" t="s">
        <v>586</v>
      </c>
      <c r="C142" s="141"/>
      <c r="D142" s="118">
        <f t="shared" ref="D142:D185" si="4">F142-E142</f>
        <v>312.5</v>
      </c>
      <c r="E142" s="118">
        <f t="shared" ref="E142:E205" si="5">ROUND(F142*$E$7/$F$7,2)</f>
        <v>62.5</v>
      </c>
      <c r="F142" s="118">
        <v>375</v>
      </c>
      <c r="G142" s="83"/>
      <c r="H142" s="84"/>
      <c r="I142" s="84"/>
    </row>
    <row r="143" spans="1:9" customFormat="1" ht="31.5" hidden="1" outlineLevel="3" x14ac:dyDescent="0.25">
      <c r="A143" s="443"/>
      <c r="B143" s="70" t="s">
        <v>989</v>
      </c>
      <c r="C143" s="141"/>
      <c r="D143" s="118">
        <f t="shared" si="4"/>
        <v>529.16999999999996</v>
      </c>
      <c r="E143" s="118">
        <f t="shared" si="5"/>
        <v>105.83</v>
      </c>
      <c r="F143" s="118">
        <v>635</v>
      </c>
      <c r="G143" s="83"/>
      <c r="H143" s="84"/>
      <c r="I143" s="84"/>
    </row>
    <row r="144" spans="1:9" customFormat="1" hidden="1" outlineLevel="3" x14ac:dyDescent="0.25">
      <c r="A144" s="443"/>
      <c r="B144" s="70" t="s">
        <v>588</v>
      </c>
      <c r="C144" s="141"/>
      <c r="D144" s="118">
        <f t="shared" si="4"/>
        <v>312.5</v>
      </c>
      <c r="E144" s="118">
        <f t="shared" si="5"/>
        <v>62.5</v>
      </c>
      <c r="F144" s="118">
        <v>375</v>
      </c>
      <c r="G144" s="83"/>
      <c r="H144" s="84"/>
      <c r="I144" s="84"/>
    </row>
    <row r="145" spans="1:9" customFormat="1" hidden="1" outlineLevel="3" x14ac:dyDescent="0.25">
      <c r="A145" s="443"/>
      <c r="B145" s="70" t="s">
        <v>589</v>
      </c>
      <c r="C145" s="141"/>
      <c r="D145" s="118">
        <f t="shared" si="4"/>
        <v>360.83</v>
      </c>
      <c r="E145" s="118">
        <f t="shared" si="5"/>
        <v>72.17</v>
      </c>
      <c r="F145" s="118">
        <v>433</v>
      </c>
      <c r="G145" s="83"/>
      <c r="H145" s="84"/>
      <c r="I145" s="84"/>
    </row>
    <row r="146" spans="1:9" customFormat="1" ht="31.5" hidden="1" outlineLevel="3" x14ac:dyDescent="0.25">
      <c r="A146" s="444"/>
      <c r="B146" s="70" t="s">
        <v>590</v>
      </c>
      <c r="C146" s="141"/>
      <c r="D146" s="118">
        <f t="shared" si="4"/>
        <v>601.66999999999996</v>
      </c>
      <c r="E146" s="118">
        <f t="shared" si="5"/>
        <v>120.33</v>
      </c>
      <c r="F146" s="118">
        <v>722</v>
      </c>
      <c r="G146" s="83"/>
      <c r="H146" s="84"/>
      <c r="I146" s="84"/>
    </row>
    <row r="147" spans="1:9" customFormat="1" hidden="1" outlineLevel="2" x14ac:dyDescent="0.25">
      <c r="A147" s="144"/>
      <c r="B147" s="70" t="s">
        <v>1274</v>
      </c>
      <c r="C147" s="141"/>
      <c r="D147" s="118"/>
      <c r="E147" s="118"/>
      <c r="F147" s="118"/>
      <c r="G147" s="83"/>
      <c r="H147" s="84"/>
      <c r="I147" s="84"/>
    </row>
    <row r="148" spans="1:9" customFormat="1" ht="31.5" hidden="1" outlineLevel="3" x14ac:dyDescent="0.25">
      <c r="A148" s="442"/>
      <c r="B148" s="70" t="s">
        <v>587</v>
      </c>
      <c r="C148" s="141"/>
      <c r="D148" s="118">
        <f t="shared" si="4"/>
        <v>529.16999999999996</v>
      </c>
      <c r="E148" s="118">
        <f t="shared" si="5"/>
        <v>105.83</v>
      </c>
      <c r="F148" s="118">
        <v>635</v>
      </c>
      <c r="G148" s="83"/>
      <c r="H148" s="84"/>
      <c r="I148" s="84"/>
    </row>
    <row r="149" spans="1:9" customFormat="1" ht="31.5" hidden="1" outlineLevel="3" x14ac:dyDescent="0.25">
      <c r="A149" s="444"/>
      <c r="B149" s="70" t="s">
        <v>590</v>
      </c>
      <c r="C149" s="141"/>
      <c r="D149" s="118">
        <f t="shared" si="4"/>
        <v>553.33000000000004</v>
      </c>
      <c r="E149" s="118">
        <f t="shared" si="5"/>
        <v>110.67</v>
      </c>
      <c r="F149" s="118">
        <v>664</v>
      </c>
      <c r="G149" s="83"/>
      <c r="H149" s="84"/>
      <c r="I149" s="84"/>
    </row>
    <row r="150" spans="1:9" customFormat="1" ht="31.5" hidden="1" outlineLevel="1" x14ac:dyDescent="0.25">
      <c r="A150" s="144" t="s">
        <v>1275</v>
      </c>
      <c r="B150" s="70" t="s">
        <v>591</v>
      </c>
      <c r="C150" s="141" t="s">
        <v>487</v>
      </c>
      <c r="D150" s="118">
        <f t="shared" si="4"/>
        <v>625.83000000000004</v>
      </c>
      <c r="E150" s="118">
        <f t="shared" si="5"/>
        <v>125.17</v>
      </c>
      <c r="F150" s="118">
        <v>751</v>
      </c>
      <c r="G150" s="83"/>
      <c r="H150" s="84"/>
      <c r="I150" s="84"/>
    </row>
    <row r="151" spans="1:9" customFormat="1" hidden="1" outlineLevel="1" x14ac:dyDescent="0.25">
      <c r="A151" s="144" t="s">
        <v>1276</v>
      </c>
      <c r="B151" s="70" t="s">
        <v>1211</v>
      </c>
      <c r="C151" s="141" t="s">
        <v>487</v>
      </c>
      <c r="D151" s="118">
        <f t="shared" si="4"/>
        <v>385</v>
      </c>
      <c r="E151" s="118">
        <f t="shared" si="5"/>
        <v>77</v>
      </c>
      <c r="F151" s="118">
        <v>462</v>
      </c>
      <c r="G151" s="83"/>
      <c r="H151" s="84"/>
      <c r="I151" s="84"/>
    </row>
    <row r="152" spans="1:9" customFormat="1" hidden="1" outlineLevel="1" x14ac:dyDescent="0.25">
      <c r="A152" s="144" t="s">
        <v>1277</v>
      </c>
      <c r="B152" s="70" t="s">
        <v>592</v>
      </c>
      <c r="C152" s="141" t="s">
        <v>487</v>
      </c>
      <c r="D152" s="118">
        <f t="shared" si="4"/>
        <v>360.83</v>
      </c>
      <c r="E152" s="118">
        <f t="shared" si="5"/>
        <v>72.17</v>
      </c>
      <c r="F152" s="118">
        <v>433</v>
      </c>
      <c r="G152" s="83"/>
      <c r="H152" s="84"/>
      <c r="I152" s="84"/>
    </row>
    <row r="153" spans="1:9" customFormat="1" hidden="1" outlineLevel="1" x14ac:dyDescent="0.25">
      <c r="A153" s="144" t="s">
        <v>1278</v>
      </c>
      <c r="B153" s="70" t="s">
        <v>593</v>
      </c>
      <c r="C153" s="141" t="s">
        <v>487</v>
      </c>
      <c r="D153" s="118">
        <f t="shared" si="4"/>
        <v>481.67</v>
      </c>
      <c r="E153" s="118">
        <f t="shared" si="5"/>
        <v>96.33</v>
      </c>
      <c r="F153" s="118">
        <v>578</v>
      </c>
      <c r="G153" s="83"/>
      <c r="H153" s="84"/>
      <c r="I153" s="84"/>
    </row>
    <row r="154" spans="1:9" customFormat="1" hidden="1" outlineLevel="1" x14ac:dyDescent="0.25">
      <c r="A154" s="144" t="s">
        <v>1279</v>
      </c>
      <c r="B154" s="70" t="s">
        <v>594</v>
      </c>
      <c r="C154" s="141" t="s">
        <v>487</v>
      </c>
      <c r="D154" s="118">
        <f t="shared" si="4"/>
        <v>577.5</v>
      </c>
      <c r="E154" s="118">
        <f t="shared" si="5"/>
        <v>115.5</v>
      </c>
      <c r="F154" s="118">
        <v>693</v>
      </c>
      <c r="G154" s="83"/>
      <c r="H154" s="84"/>
      <c r="I154" s="84"/>
    </row>
    <row r="155" spans="1:9" customFormat="1" hidden="1" outlineLevel="1" x14ac:dyDescent="0.25">
      <c r="A155" s="144" t="s">
        <v>1280</v>
      </c>
      <c r="B155" s="70" t="s">
        <v>1212</v>
      </c>
      <c r="C155" s="141" t="s">
        <v>487</v>
      </c>
      <c r="D155" s="118">
        <f t="shared" si="4"/>
        <v>385</v>
      </c>
      <c r="E155" s="118">
        <f t="shared" si="5"/>
        <v>77</v>
      </c>
      <c r="F155" s="118">
        <v>462</v>
      </c>
      <c r="G155" s="83"/>
      <c r="H155" s="84"/>
      <c r="I155" s="84"/>
    </row>
    <row r="156" spans="1:9" customFormat="1" hidden="1" outlineLevel="1" x14ac:dyDescent="0.25">
      <c r="A156" s="144" t="s">
        <v>1281</v>
      </c>
      <c r="B156" s="70" t="s">
        <v>595</v>
      </c>
      <c r="C156" s="141" t="s">
        <v>487</v>
      </c>
      <c r="D156" s="118"/>
      <c r="E156" s="118"/>
      <c r="F156" s="118"/>
      <c r="G156" s="83"/>
      <c r="H156" s="84"/>
      <c r="I156" s="84"/>
    </row>
    <row r="157" spans="1:9" customFormat="1" hidden="1" outlineLevel="2" x14ac:dyDescent="0.25">
      <c r="A157" s="442"/>
      <c r="B157" s="70" t="s">
        <v>596</v>
      </c>
      <c r="C157" s="141"/>
      <c r="D157" s="118">
        <f t="shared" si="4"/>
        <v>120</v>
      </c>
      <c r="E157" s="118">
        <f t="shared" si="5"/>
        <v>24</v>
      </c>
      <c r="F157" s="118">
        <v>144</v>
      </c>
      <c r="G157" s="83"/>
      <c r="H157" s="84"/>
      <c r="I157" s="84"/>
    </row>
    <row r="158" spans="1:9" customFormat="1" hidden="1" outlineLevel="2" x14ac:dyDescent="0.25">
      <c r="A158" s="444"/>
      <c r="B158" s="70" t="s">
        <v>597</v>
      </c>
      <c r="C158" s="141"/>
      <c r="D158" s="118">
        <f t="shared" si="4"/>
        <v>144.17000000000002</v>
      </c>
      <c r="E158" s="118">
        <f t="shared" si="5"/>
        <v>28.83</v>
      </c>
      <c r="F158" s="118">
        <v>173</v>
      </c>
      <c r="G158" s="83"/>
      <c r="H158" s="84"/>
      <c r="I158" s="84"/>
    </row>
    <row r="159" spans="1:9" customFormat="1" ht="15.75" hidden="1" customHeight="1" outlineLevel="1" x14ac:dyDescent="0.25">
      <c r="A159" s="144" t="s">
        <v>1282</v>
      </c>
      <c r="B159" s="70" t="s">
        <v>598</v>
      </c>
      <c r="C159" s="141" t="s">
        <v>487</v>
      </c>
      <c r="D159" s="118"/>
      <c r="E159" s="118"/>
      <c r="F159" s="118"/>
      <c r="G159" s="83"/>
      <c r="H159" s="84"/>
      <c r="I159" s="84"/>
    </row>
    <row r="160" spans="1:9" customFormat="1" hidden="1" outlineLevel="2" x14ac:dyDescent="0.25">
      <c r="A160" s="442"/>
      <c r="B160" s="70" t="s">
        <v>599</v>
      </c>
      <c r="C160" s="141"/>
      <c r="D160" s="118">
        <f t="shared" si="4"/>
        <v>264.17</v>
      </c>
      <c r="E160" s="118">
        <f t="shared" si="5"/>
        <v>52.83</v>
      </c>
      <c r="F160" s="118">
        <v>317</v>
      </c>
      <c r="G160" s="83"/>
      <c r="H160" s="84"/>
      <c r="I160" s="84"/>
    </row>
    <row r="161" spans="1:9" customFormat="1" hidden="1" outlineLevel="2" x14ac:dyDescent="0.25">
      <c r="A161" s="444"/>
      <c r="B161" s="70" t="s">
        <v>600</v>
      </c>
      <c r="C161" s="141"/>
      <c r="D161" s="118">
        <f t="shared" si="4"/>
        <v>144.17000000000002</v>
      </c>
      <c r="E161" s="118">
        <f t="shared" si="5"/>
        <v>28.83</v>
      </c>
      <c r="F161" s="118">
        <v>173</v>
      </c>
      <c r="G161" s="83"/>
      <c r="H161" s="84"/>
      <c r="I161" s="84"/>
    </row>
    <row r="162" spans="1:9" customFormat="1" ht="31.5" hidden="1" outlineLevel="1" x14ac:dyDescent="0.25">
      <c r="A162" s="144" t="s">
        <v>1283</v>
      </c>
      <c r="B162" s="70" t="s">
        <v>601</v>
      </c>
      <c r="C162" s="141" t="s">
        <v>487</v>
      </c>
      <c r="D162" s="118">
        <f t="shared" si="4"/>
        <v>1830.83</v>
      </c>
      <c r="E162" s="118">
        <f t="shared" si="5"/>
        <v>366.17</v>
      </c>
      <c r="F162" s="118">
        <v>2197</v>
      </c>
      <c r="G162" s="83"/>
      <c r="H162" s="84"/>
      <c r="I162" s="84"/>
    </row>
    <row r="163" spans="1:9" customFormat="1" hidden="1" outlineLevel="1" x14ac:dyDescent="0.25">
      <c r="A163" s="144" t="s">
        <v>1284</v>
      </c>
      <c r="B163" s="70" t="s">
        <v>602</v>
      </c>
      <c r="C163" s="141" t="s">
        <v>487</v>
      </c>
      <c r="D163" s="118">
        <f t="shared" si="4"/>
        <v>460.83</v>
      </c>
      <c r="E163" s="118">
        <f t="shared" si="5"/>
        <v>92.17</v>
      </c>
      <c r="F163" s="118">
        <v>553</v>
      </c>
      <c r="G163" s="83"/>
      <c r="H163" s="84"/>
      <c r="I163" s="84"/>
    </row>
    <row r="164" spans="1:9" customFormat="1" ht="15.75" hidden="1" customHeight="1" outlineLevel="1" x14ac:dyDescent="0.25">
      <c r="A164" s="144" t="s">
        <v>1285</v>
      </c>
      <c r="B164" s="70" t="s">
        <v>1213</v>
      </c>
      <c r="C164" s="141" t="s">
        <v>487</v>
      </c>
      <c r="D164" s="118">
        <f t="shared" si="4"/>
        <v>130</v>
      </c>
      <c r="E164" s="118">
        <f t="shared" si="5"/>
        <v>26</v>
      </c>
      <c r="F164" s="118">
        <v>156</v>
      </c>
      <c r="G164" s="83"/>
      <c r="H164" s="84"/>
      <c r="I164" s="84"/>
    </row>
    <row r="165" spans="1:9" customFormat="1" ht="31.5" hidden="1" outlineLevel="1" x14ac:dyDescent="0.25">
      <c r="A165" s="144" t="s">
        <v>1286</v>
      </c>
      <c r="B165" s="70" t="s">
        <v>1214</v>
      </c>
      <c r="C165" s="141" t="s">
        <v>487</v>
      </c>
      <c r="D165" s="118">
        <f t="shared" si="4"/>
        <v>73.33</v>
      </c>
      <c r="E165" s="118">
        <f t="shared" si="5"/>
        <v>14.67</v>
      </c>
      <c r="F165" s="118">
        <v>88</v>
      </c>
      <c r="G165" s="83"/>
      <c r="H165" s="84"/>
      <c r="I165" s="84"/>
    </row>
    <row r="166" spans="1:9" customFormat="1" ht="31.5" hidden="1" outlineLevel="1" x14ac:dyDescent="0.25">
      <c r="A166" s="144" t="s">
        <v>1287</v>
      </c>
      <c r="B166" s="70" t="s">
        <v>603</v>
      </c>
      <c r="C166" s="141" t="s">
        <v>966</v>
      </c>
      <c r="D166" s="118">
        <f t="shared" si="4"/>
        <v>451.67</v>
      </c>
      <c r="E166" s="118">
        <f t="shared" si="5"/>
        <v>90.33</v>
      </c>
      <c r="F166" s="118">
        <v>542</v>
      </c>
      <c r="G166" s="83"/>
      <c r="H166" s="84"/>
      <c r="I166" s="84"/>
    </row>
    <row r="167" spans="1:9" customFormat="1" ht="31.5" hidden="1" outlineLevel="1" x14ac:dyDescent="0.25">
      <c r="A167" s="144" t="s">
        <v>1288</v>
      </c>
      <c r="B167" s="70" t="s">
        <v>605</v>
      </c>
      <c r="C167" s="141" t="s">
        <v>606</v>
      </c>
      <c r="D167" s="118"/>
      <c r="E167" s="118"/>
      <c r="F167" s="118"/>
      <c r="G167" s="83"/>
      <c r="H167" s="84"/>
      <c r="I167" s="84"/>
    </row>
    <row r="168" spans="1:9" customFormat="1" hidden="1" outlineLevel="2" x14ac:dyDescent="0.25">
      <c r="A168" s="447"/>
      <c r="B168" s="70" t="s">
        <v>607</v>
      </c>
      <c r="C168" s="141"/>
      <c r="D168" s="118">
        <f t="shared" si="4"/>
        <v>451.67</v>
      </c>
      <c r="E168" s="118">
        <f t="shared" si="5"/>
        <v>90.33</v>
      </c>
      <c r="F168" s="118">
        <v>542</v>
      </c>
      <c r="G168" s="83"/>
      <c r="H168" s="84"/>
      <c r="I168" s="84"/>
    </row>
    <row r="169" spans="1:9" customFormat="1" hidden="1" outlineLevel="2" x14ac:dyDescent="0.25">
      <c r="A169" s="447"/>
      <c r="B169" s="70" t="s">
        <v>608</v>
      </c>
      <c r="C169" s="141"/>
      <c r="D169" s="118">
        <f t="shared" si="4"/>
        <v>632.5</v>
      </c>
      <c r="E169" s="118">
        <f t="shared" si="5"/>
        <v>126.5</v>
      </c>
      <c r="F169" s="118">
        <v>759</v>
      </c>
      <c r="G169" s="83"/>
      <c r="H169" s="84"/>
      <c r="I169" s="84"/>
    </row>
    <row r="170" spans="1:9" customFormat="1" hidden="1" outlineLevel="2" x14ac:dyDescent="0.25">
      <c r="A170" s="447"/>
      <c r="B170" s="70" t="s">
        <v>609</v>
      </c>
      <c r="C170" s="141"/>
      <c r="D170" s="118">
        <f t="shared" si="4"/>
        <v>1355.83</v>
      </c>
      <c r="E170" s="118">
        <f t="shared" si="5"/>
        <v>271.17</v>
      </c>
      <c r="F170" s="118">
        <v>1627</v>
      </c>
      <c r="G170" s="83"/>
      <c r="H170" s="84"/>
      <c r="I170" s="84"/>
    </row>
    <row r="171" spans="1:9" customFormat="1" hidden="1" outlineLevel="1" x14ac:dyDescent="0.25">
      <c r="A171" s="144" t="s">
        <v>1289</v>
      </c>
      <c r="B171" s="70" t="s">
        <v>610</v>
      </c>
      <c r="C171" s="141" t="s">
        <v>487</v>
      </c>
      <c r="D171" s="118"/>
      <c r="E171" s="118"/>
      <c r="F171" s="118"/>
      <c r="G171" s="83"/>
      <c r="H171" s="84"/>
      <c r="I171" s="84"/>
    </row>
    <row r="172" spans="1:9" customFormat="1" hidden="1" outlineLevel="2" x14ac:dyDescent="0.25">
      <c r="A172" s="442"/>
      <c r="B172" s="70" t="s">
        <v>611</v>
      </c>
      <c r="C172" s="141"/>
      <c r="D172" s="118">
        <f t="shared" si="4"/>
        <v>317.5</v>
      </c>
      <c r="E172" s="118">
        <f t="shared" si="5"/>
        <v>63.5</v>
      </c>
      <c r="F172" s="118">
        <v>381</v>
      </c>
      <c r="G172" s="83"/>
      <c r="H172" s="84"/>
      <c r="I172" s="84"/>
    </row>
    <row r="173" spans="1:9" customFormat="1" hidden="1" outlineLevel="2" x14ac:dyDescent="0.25">
      <c r="A173" s="443"/>
      <c r="B173" s="70" t="s">
        <v>612</v>
      </c>
      <c r="C173" s="141"/>
      <c r="D173" s="118">
        <f t="shared" si="4"/>
        <v>464.17</v>
      </c>
      <c r="E173" s="118">
        <f t="shared" si="5"/>
        <v>92.83</v>
      </c>
      <c r="F173" s="118">
        <v>557</v>
      </c>
      <c r="G173" s="83"/>
      <c r="H173" s="84"/>
      <c r="I173" s="84"/>
    </row>
    <row r="174" spans="1:9" customFormat="1" hidden="1" outlineLevel="2" x14ac:dyDescent="0.25">
      <c r="A174" s="443"/>
      <c r="B174" s="70" t="s">
        <v>613</v>
      </c>
      <c r="C174" s="141"/>
      <c r="D174" s="118">
        <f t="shared" si="4"/>
        <v>659.17</v>
      </c>
      <c r="E174" s="118">
        <f t="shared" si="5"/>
        <v>131.83000000000001</v>
      </c>
      <c r="F174" s="118">
        <v>791</v>
      </c>
      <c r="G174" s="83"/>
      <c r="H174" s="84"/>
      <c r="I174" s="84"/>
    </row>
    <row r="175" spans="1:9" customFormat="1" hidden="1" outlineLevel="2" x14ac:dyDescent="0.25">
      <c r="A175" s="444"/>
      <c r="B175" s="70" t="s">
        <v>614</v>
      </c>
      <c r="C175" s="141"/>
      <c r="D175" s="118">
        <f t="shared" si="4"/>
        <v>854.17</v>
      </c>
      <c r="E175" s="118">
        <f t="shared" si="5"/>
        <v>170.83</v>
      </c>
      <c r="F175" s="118">
        <v>1025</v>
      </c>
      <c r="G175" s="83"/>
      <c r="H175" s="84"/>
      <c r="I175" s="84"/>
    </row>
    <row r="176" spans="1:9" customFormat="1" hidden="1" outlineLevel="1" x14ac:dyDescent="0.25">
      <c r="A176" s="144" t="s">
        <v>1290</v>
      </c>
      <c r="B176" s="70" t="s">
        <v>615</v>
      </c>
      <c r="C176" s="141" t="s">
        <v>487</v>
      </c>
      <c r="D176" s="118"/>
      <c r="E176" s="118"/>
      <c r="F176" s="118"/>
      <c r="G176" s="83"/>
      <c r="H176" s="84"/>
      <c r="I176" s="84"/>
    </row>
    <row r="177" spans="1:11" customFormat="1" hidden="1" outlineLevel="2" x14ac:dyDescent="0.25">
      <c r="A177" s="442"/>
      <c r="B177" s="70" t="s">
        <v>616</v>
      </c>
      <c r="C177" s="141"/>
      <c r="D177" s="118">
        <f t="shared" si="4"/>
        <v>121.67</v>
      </c>
      <c r="E177" s="118">
        <f t="shared" si="5"/>
        <v>24.33</v>
      </c>
      <c r="F177" s="118">
        <v>146</v>
      </c>
      <c r="G177" s="83"/>
      <c r="H177" s="84"/>
      <c r="I177" s="84"/>
    </row>
    <row r="178" spans="1:11" customFormat="1" hidden="1" outlineLevel="2" x14ac:dyDescent="0.25">
      <c r="A178" s="444"/>
      <c r="B178" s="70" t="s">
        <v>617</v>
      </c>
      <c r="C178" s="141"/>
      <c r="D178" s="118">
        <f t="shared" si="4"/>
        <v>145.82999999999998</v>
      </c>
      <c r="E178" s="118">
        <f t="shared" si="5"/>
        <v>29.17</v>
      </c>
      <c r="F178" s="118">
        <v>175</v>
      </c>
      <c r="G178" s="83"/>
      <c r="H178" s="84"/>
      <c r="I178" s="84"/>
    </row>
    <row r="179" spans="1:11" customFormat="1" hidden="1" outlineLevel="1" x14ac:dyDescent="0.25">
      <c r="A179" s="144" t="s">
        <v>1291</v>
      </c>
      <c r="B179" s="70" t="s">
        <v>618</v>
      </c>
      <c r="C179" s="141" t="s">
        <v>487</v>
      </c>
      <c r="D179" s="118">
        <f t="shared" si="4"/>
        <v>585.83000000000004</v>
      </c>
      <c r="E179" s="118">
        <f t="shared" si="5"/>
        <v>117.17</v>
      </c>
      <c r="F179" s="118">
        <v>703</v>
      </c>
      <c r="G179" s="83"/>
      <c r="H179" s="84"/>
      <c r="I179" s="84"/>
    </row>
    <row r="180" spans="1:11" customFormat="1" hidden="1" outlineLevel="1" x14ac:dyDescent="0.25">
      <c r="A180" s="144" t="s">
        <v>1292</v>
      </c>
      <c r="B180" s="70" t="s">
        <v>619</v>
      </c>
      <c r="C180" s="141" t="s">
        <v>487</v>
      </c>
      <c r="D180" s="118">
        <f t="shared" si="4"/>
        <v>854.17</v>
      </c>
      <c r="E180" s="118">
        <f t="shared" si="5"/>
        <v>170.83</v>
      </c>
      <c r="F180" s="118">
        <v>1025</v>
      </c>
      <c r="G180" s="83"/>
      <c r="H180" s="84"/>
      <c r="I180" s="84"/>
    </row>
    <row r="181" spans="1:11" customFormat="1" hidden="1" outlineLevel="1" x14ac:dyDescent="0.25">
      <c r="A181" s="144" t="s">
        <v>1293</v>
      </c>
      <c r="B181" s="70" t="s">
        <v>620</v>
      </c>
      <c r="C181" s="141" t="s">
        <v>487</v>
      </c>
      <c r="D181" s="118"/>
      <c r="E181" s="118"/>
      <c r="F181" s="118"/>
      <c r="G181" s="83"/>
      <c r="H181" s="84"/>
      <c r="I181" s="84"/>
    </row>
    <row r="182" spans="1:11" customFormat="1" hidden="1" outlineLevel="2" x14ac:dyDescent="0.25">
      <c r="A182" s="445"/>
      <c r="B182" s="70" t="s">
        <v>621</v>
      </c>
      <c r="C182" s="141"/>
      <c r="D182" s="118">
        <f t="shared" si="4"/>
        <v>1220</v>
      </c>
      <c r="E182" s="118">
        <f t="shared" si="5"/>
        <v>244</v>
      </c>
      <c r="F182" s="118">
        <v>1464</v>
      </c>
      <c r="G182" s="83"/>
      <c r="H182" s="84"/>
      <c r="I182" s="84"/>
    </row>
    <row r="183" spans="1:11" customFormat="1" hidden="1" outlineLevel="2" x14ac:dyDescent="0.25">
      <c r="A183" s="448"/>
      <c r="B183" s="70" t="s">
        <v>622</v>
      </c>
      <c r="C183" s="141"/>
      <c r="D183" s="118">
        <f t="shared" si="4"/>
        <v>1341.67</v>
      </c>
      <c r="E183" s="118">
        <f t="shared" si="5"/>
        <v>268.33</v>
      </c>
      <c r="F183" s="118">
        <v>1610</v>
      </c>
      <c r="G183" s="83"/>
      <c r="H183" s="84"/>
      <c r="I183" s="84"/>
    </row>
    <row r="184" spans="1:11" customFormat="1" hidden="1" outlineLevel="2" x14ac:dyDescent="0.25">
      <c r="A184" s="448"/>
      <c r="B184" s="70" t="s">
        <v>623</v>
      </c>
      <c r="C184" s="141"/>
      <c r="D184" s="118">
        <f t="shared" si="4"/>
        <v>1341.67</v>
      </c>
      <c r="E184" s="118">
        <f t="shared" si="5"/>
        <v>268.33</v>
      </c>
      <c r="F184" s="118">
        <v>1610</v>
      </c>
      <c r="G184" s="83"/>
      <c r="H184" s="84"/>
      <c r="I184" s="84"/>
    </row>
    <row r="185" spans="1:11" customFormat="1" hidden="1" outlineLevel="2" x14ac:dyDescent="0.25">
      <c r="A185" s="446"/>
      <c r="B185" s="70" t="s">
        <v>624</v>
      </c>
      <c r="C185" s="141"/>
      <c r="D185" s="118">
        <f t="shared" si="4"/>
        <v>1952.5</v>
      </c>
      <c r="E185" s="118">
        <f>ROUND(F185*$E$7/$F$7,2)</f>
        <v>390.5</v>
      </c>
      <c r="F185" s="118">
        <v>2343</v>
      </c>
      <c r="G185" s="83"/>
      <c r="H185" s="84"/>
      <c r="I185" s="84"/>
    </row>
    <row r="186" spans="1:11" customFormat="1" ht="18.75" hidden="1" x14ac:dyDescent="0.25">
      <c r="A186" s="392" t="s">
        <v>1294</v>
      </c>
      <c r="B186" s="393"/>
      <c r="C186" s="393"/>
      <c r="D186" s="393"/>
      <c r="E186" s="393"/>
      <c r="F186" s="394"/>
      <c r="G186" s="83"/>
      <c r="H186" s="84"/>
      <c r="I186" s="83"/>
      <c r="J186" s="84"/>
      <c r="K186" s="84"/>
    </row>
    <row r="187" spans="1:11" customFormat="1" hidden="1" outlineLevel="1" x14ac:dyDescent="0.25">
      <c r="A187" s="144" t="s">
        <v>1296</v>
      </c>
      <c r="B187" s="70" t="s">
        <v>625</v>
      </c>
      <c r="C187" s="141" t="s">
        <v>626</v>
      </c>
      <c r="D187" s="118"/>
      <c r="E187" s="118"/>
      <c r="F187" s="118"/>
      <c r="G187" s="83"/>
      <c r="H187" s="84"/>
      <c r="I187" s="84"/>
    </row>
    <row r="188" spans="1:11" customFormat="1" hidden="1" outlineLevel="2" x14ac:dyDescent="0.25">
      <c r="A188" s="442"/>
      <c r="B188" s="70" t="s">
        <v>627</v>
      </c>
      <c r="C188" s="141"/>
      <c r="D188" s="118">
        <f t="shared" ref="D188:D209" si="6">F188-E188</f>
        <v>121.67</v>
      </c>
      <c r="E188" s="118">
        <f t="shared" si="5"/>
        <v>24.33</v>
      </c>
      <c r="F188" s="118">
        <v>146</v>
      </c>
      <c r="G188" s="83"/>
      <c r="H188" s="84"/>
      <c r="I188" s="84"/>
    </row>
    <row r="189" spans="1:11" customFormat="1" hidden="1" outlineLevel="2" x14ac:dyDescent="0.25">
      <c r="A189" s="443"/>
      <c r="B189" s="70" t="s">
        <v>628</v>
      </c>
      <c r="C189" s="141"/>
      <c r="D189" s="118">
        <f t="shared" si="6"/>
        <v>145.82999999999998</v>
      </c>
      <c r="E189" s="118">
        <f t="shared" si="5"/>
        <v>29.17</v>
      </c>
      <c r="F189" s="118">
        <v>175</v>
      </c>
      <c r="G189" s="83"/>
      <c r="H189" s="84"/>
      <c r="I189" s="84"/>
    </row>
    <row r="190" spans="1:11" customFormat="1" hidden="1" outlineLevel="2" x14ac:dyDescent="0.25">
      <c r="A190" s="443"/>
      <c r="B190" s="70" t="s">
        <v>629</v>
      </c>
      <c r="C190" s="141"/>
      <c r="D190" s="118">
        <f t="shared" si="6"/>
        <v>170.82999999999998</v>
      </c>
      <c r="E190" s="118">
        <f t="shared" si="5"/>
        <v>34.17</v>
      </c>
      <c r="F190" s="118">
        <v>205</v>
      </c>
      <c r="G190" s="83"/>
      <c r="H190" s="84"/>
      <c r="I190" s="84"/>
    </row>
    <row r="191" spans="1:11" customFormat="1" hidden="1" outlineLevel="2" x14ac:dyDescent="0.25">
      <c r="A191" s="444"/>
      <c r="B191" s="70" t="s">
        <v>630</v>
      </c>
      <c r="C191" s="141"/>
      <c r="D191" s="118">
        <f t="shared" si="6"/>
        <v>244.17000000000002</v>
      </c>
      <c r="E191" s="118">
        <f t="shared" si="5"/>
        <v>48.83</v>
      </c>
      <c r="F191" s="118">
        <v>293</v>
      </c>
      <c r="G191" s="83"/>
      <c r="H191" s="84"/>
      <c r="I191" s="84"/>
    </row>
    <row r="192" spans="1:11" customFormat="1" hidden="1" outlineLevel="1" x14ac:dyDescent="0.25">
      <c r="A192" s="144" t="s">
        <v>1297</v>
      </c>
      <c r="B192" s="70" t="s">
        <v>631</v>
      </c>
      <c r="C192" s="141" t="s">
        <v>626</v>
      </c>
      <c r="D192" s="118"/>
      <c r="E192" s="118"/>
      <c r="F192" s="118"/>
      <c r="G192" s="83"/>
      <c r="H192" s="84"/>
      <c r="I192" s="84"/>
    </row>
    <row r="193" spans="1:9" customFormat="1" hidden="1" outlineLevel="2" x14ac:dyDescent="0.25">
      <c r="A193" s="442"/>
      <c r="B193" s="70" t="s">
        <v>627</v>
      </c>
      <c r="C193" s="141"/>
      <c r="D193" s="118">
        <f t="shared" si="6"/>
        <v>97.5</v>
      </c>
      <c r="E193" s="118">
        <f t="shared" si="5"/>
        <v>19.5</v>
      </c>
      <c r="F193" s="118">
        <v>117</v>
      </c>
      <c r="G193" s="83"/>
      <c r="H193" s="84"/>
      <c r="I193" s="84"/>
    </row>
    <row r="194" spans="1:9" customFormat="1" hidden="1" outlineLevel="2" x14ac:dyDescent="0.25">
      <c r="A194" s="443"/>
      <c r="B194" s="70" t="s">
        <v>628</v>
      </c>
      <c r="C194" s="141"/>
      <c r="D194" s="118">
        <f t="shared" si="6"/>
        <v>97.5</v>
      </c>
      <c r="E194" s="118">
        <f t="shared" si="5"/>
        <v>19.5</v>
      </c>
      <c r="F194" s="118">
        <v>117</v>
      </c>
      <c r="G194" s="83"/>
      <c r="H194" s="84"/>
      <c r="I194" s="84"/>
    </row>
    <row r="195" spans="1:9" customFormat="1" hidden="1" outlineLevel="2" x14ac:dyDescent="0.25">
      <c r="A195" s="443"/>
      <c r="B195" s="70" t="s">
        <v>629</v>
      </c>
      <c r="C195" s="141"/>
      <c r="D195" s="118">
        <f t="shared" si="6"/>
        <v>121.67</v>
      </c>
      <c r="E195" s="118">
        <f t="shared" si="5"/>
        <v>24.33</v>
      </c>
      <c r="F195" s="118">
        <v>146</v>
      </c>
      <c r="G195" s="83"/>
      <c r="H195" s="84"/>
      <c r="I195" s="84"/>
    </row>
    <row r="196" spans="1:9" customFormat="1" hidden="1" outlineLevel="2" x14ac:dyDescent="0.25">
      <c r="A196" s="444"/>
      <c r="B196" s="70" t="s">
        <v>630</v>
      </c>
      <c r="C196" s="141"/>
      <c r="D196" s="118">
        <f t="shared" si="6"/>
        <v>145.82999999999998</v>
      </c>
      <c r="E196" s="118">
        <f t="shared" si="5"/>
        <v>29.17</v>
      </c>
      <c r="F196" s="118">
        <v>175</v>
      </c>
      <c r="G196" s="83"/>
      <c r="H196" s="84"/>
      <c r="I196" s="84"/>
    </row>
    <row r="197" spans="1:9" customFormat="1" hidden="1" outlineLevel="1" x14ac:dyDescent="0.25">
      <c r="A197" s="144" t="s">
        <v>1298</v>
      </c>
      <c r="B197" s="70" t="s">
        <v>632</v>
      </c>
      <c r="C197" s="141" t="s">
        <v>626</v>
      </c>
      <c r="D197" s="118">
        <f t="shared" si="6"/>
        <v>195.82999999999998</v>
      </c>
      <c r="E197" s="118">
        <f t="shared" si="5"/>
        <v>39.17</v>
      </c>
      <c r="F197" s="118">
        <v>235</v>
      </c>
      <c r="G197" s="83"/>
      <c r="H197" s="84"/>
      <c r="I197" s="84"/>
    </row>
    <row r="198" spans="1:9" customFormat="1" hidden="1" outlineLevel="1" x14ac:dyDescent="0.25">
      <c r="A198" s="144" t="s">
        <v>1299</v>
      </c>
      <c r="B198" s="70" t="s">
        <v>633</v>
      </c>
      <c r="C198" s="141" t="s">
        <v>626</v>
      </c>
      <c r="D198" s="118"/>
      <c r="E198" s="118"/>
      <c r="F198" s="118"/>
      <c r="G198" s="83"/>
      <c r="H198" s="84"/>
      <c r="I198" s="84"/>
    </row>
    <row r="199" spans="1:9" customFormat="1" hidden="1" outlineLevel="2" x14ac:dyDescent="0.25">
      <c r="A199" s="445"/>
      <c r="B199" s="70" t="s">
        <v>634</v>
      </c>
      <c r="C199" s="141"/>
      <c r="D199" s="118">
        <f t="shared" si="6"/>
        <v>220</v>
      </c>
      <c r="E199" s="118">
        <f t="shared" si="5"/>
        <v>44</v>
      </c>
      <c r="F199" s="118">
        <v>264</v>
      </c>
      <c r="G199" s="83"/>
      <c r="H199" s="84"/>
      <c r="I199" s="84"/>
    </row>
    <row r="200" spans="1:9" customFormat="1" hidden="1" outlineLevel="2" x14ac:dyDescent="0.25">
      <c r="A200" s="446"/>
      <c r="B200" s="70" t="s">
        <v>635</v>
      </c>
      <c r="C200" s="141"/>
      <c r="D200" s="118">
        <f t="shared" si="6"/>
        <v>292.5</v>
      </c>
      <c r="E200" s="118">
        <f t="shared" si="5"/>
        <v>58.5</v>
      </c>
      <c r="F200" s="118">
        <v>351</v>
      </c>
      <c r="G200" s="83"/>
      <c r="H200" s="84"/>
      <c r="I200" s="84"/>
    </row>
    <row r="201" spans="1:9" customFormat="1" hidden="1" outlineLevel="1" x14ac:dyDescent="0.25">
      <c r="A201" s="144" t="s">
        <v>1300</v>
      </c>
      <c r="B201" s="70" t="s">
        <v>636</v>
      </c>
      <c r="C201" s="141" t="s">
        <v>626</v>
      </c>
      <c r="D201" s="118">
        <f t="shared" si="6"/>
        <v>578.33000000000004</v>
      </c>
      <c r="E201" s="118">
        <f t="shared" si="5"/>
        <v>115.67</v>
      </c>
      <c r="F201" s="118">
        <v>694</v>
      </c>
      <c r="G201" s="83"/>
      <c r="H201" s="84"/>
      <c r="I201" s="84"/>
    </row>
    <row r="202" spans="1:9" customFormat="1" hidden="1" outlineLevel="1" x14ac:dyDescent="0.25">
      <c r="A202" s="144" t="s">
        <v>1301</v>
      </c>
      <c r="B202" s="70" t="s">
        <v>637</v>
      </c>
      <c r="C202" s="141" t="s">
        <v>626</v>
      </c>
      <c r="D202" s="118">
        <f t="shared" si="6"/>
        <v>149.17000000000002</v>
      </c>
      <c r="E202" s="118">
        <f t="shared" si="5"/>
        <v>29.83</v>
      </c>
      <c r="F202" s="118">
        <v>179</v>
      </c>
      <c r="G202" s="83"/>
      <c r="H202" s="84"/>
      <c r="I202" s="84"/>
    </row>
    <row r="203" spans="1:9" customFormat="1" hidden="1" outlineLevel="1" x14ac:dyDescent="0.25">
      <c r="A203" s="144" t="s">
        <v>1302</v>
      </c>
      <c r="B203" s="70" t="s">
        <v>638</v>
      </c>
      <c r="C203" s="141" t="s">
        <v>487</v>
      </c>
      <c r="D203" s="118">
        <f t="shared" si="6"/>
        <v>170.82999999999998</v>
      </c>
      <c r="E203" s="118">
        <f t="shared" si="5"/>
        <v>34.17</v>
      </c>
      <c r="F203" s="118">
        <v>205</v>
      </c>
      <c r="G203" s="83"/>
      <c r="H203" s="84"/>
      <c r="I203" s="84"/>
    </row>
    <row r="204" spans="1:9" customFormat="1" hidden="1" outlineLevel="1" x14ac:dyDescent="0.25">
      <c r="A204" s="144" t="s">
        <v>1303</v>
      </c>
      <c r="B204" s="70" t="s">
        <v>639</v>
      </c>
      <c r="C204" s="141" t="s">
        <v>640</v>
      </c>
      <c r="D204" s="118">
        <f t="shared" si="6"/>
        <v>330.83</v>
      </c>
      <c r="E204" s="118">
        <f t="shared" si="5"/>
        <v>66.17</v>
      </c>
      <c r="F204" s="118">
        <v>397</v>
      </c>
      <c r="G204" s="83"/>
      <c r="H204" s="84"/>
      <c r="I204" s="84"/>
    </row>
    <row r="205" spans="1:9" customFormat="1" hidden="1" outlineLevel="1" x14ac:dyDescent="0.25">
      <c r="A205" s="144" t="s">
        <v>1304</v>
      </c>
      <c r="B205" s="70" t="s">
        <v>641</v>
      </c>
      <c r="C205" s="141" t="s">
        <v>487</v>
      </c>
      <c r="D205" s="118">
        <f t="shared" si="6"/>
        <v>220</v>
      </c>
      <c r="E205" s="118">
        <f t="shared" si="5"/>
        <v>44</v>
      </c>
      <c r="F205" s="118">
        <v>264</v>
      </c>
      <c r="G205" s="83"/>
      <c r="H205" s="84"/>
      <c r="I205" s="84"/>
    </row>
    <row r="206" spans="1:9" customFormat="1" hidden="1" outlineLevel="1" x14ac:dyDescent="0.25">
      <c r="A206" s="144" t="s">
        <v>1305</v>
      </c>
      <c r="B206" s="70" t="s">
        <v>642</v>
      </c>
      <c r="C206" s="141" t="s">
        <v>487</v>
      </c>
      <c r="D206" s="118">
        <f t="shared" si="6"/>
        <v>121.67</v>
      </c>
      <c r="E206" s="118">
        <f t="shared" ref="E206:E269" si="7">ROUND(F206*$E$7/$F$7,2)</f>
        <v>24.33</v>
      </c>
      <c r="F206" s="118">
        <v>146</v>
      </c>
      <c r="G206" s="83"/>
      <c r="H206" s="84"/>
      <c r="I206" s="84"/>
    </row>
    <row r="207" spans="1:9" customFormat="1" hidden="1" outlineLevel="1" x14ac:dyDescent="0.25">
      <c r="A207" s="144" t="s">
        <v>1306</v>
      </c>
      <c r="B207" s="70" t="s">
        <v>643</v>
      </c>
      <c r="C207" s="141" t="s">
        <v>543</v>
      </c>
      <c r="D207" s="118"/>
      <c r="E207" s="118"/>
      <c r="F207" s="118"/>
      <c r="G207" s="83"/>
      <c r="H207" s="84"/>
      <c r="I207" s="84"/>
    </row>
    <row r="208" spans="1:9" customFormat="1" hidden="1" outlineLevel="2" x14ac:dyDescent="0.25">
      <c r="A208" s="445"/>
      <c r="B208" s="70" t="s">
        <v>644</v>
      </c>
      <c r="C208" s="141"/>
      <c r="D208" s="118">
        <f t="shared" si="6"/>
        <v>199.17000000000002</v>
      </c>
      <c r="E208" s="118">
        <f t="shared" si="7"/>
        <v>39.83</v>
      </c>
      <c r="F208" s="118">
        <v>239</v>
      </c>
      <c r="G208" s="83"/>
      <c r="H208" s="84"/>
      <c r="I208" s="84"/>
    </row>
    <row r="209" spans="1:11" customFormat="1" hidden="1" outlineLevel="2" x14ac:dyDescent="0.25">
      <c r="A209" s="446"/>
      <c r="B209" s="70" t="s">
        <v>645</v>
      </c>
      <c r="C209" s="141"/>
      <c r="D209" s="118">
        <f t="shared" si="6"/>
        <v>262.5</v>
      </c>
      <c r="E209" s="118">
        <f t="shared" si="7"/>
        <v>52.5</v>
      </c>
      <c r="F209" s="118">
        <v>315</v>
      </c>
      <c r="G209" s="83"/>
      <c r="H209" s="84"/>
      <c r="I209" s="84"/>
    </row>
    <row r="210" spans="1:11" customFormat="1" ht="18.75" hidden="1" x14ac:dyDescent="0.25">
      <c r="A210" s="392" t="s">
        <v>1307</v>
      </c>
      <c r="B210" s="393"/>
      <c r="C210" s="393"/>
      <c r="D210" s="393"/>
      <c r="E210" s="393"/>
      <c r="F210" s="394"/>
      <c r="G210" s="83"/>
      <c r="H210" s="84"/>
      <c r="I210" s="83"/>
      <c r="J210" s="84"/>
      <c r="K210" s="84"/>
    </row>
    <row r="211" spans="1:11" customFormat="1" hidden="1" outlineLevel="1" x14ac:dyDescent="0.25">
      <c r="A211" s="144" t="s">
        <v>1308</v>
      </c>
      <c r="B211" s="70" t="s">
        <v>646</v>
      </c>
      <c r="C211" s="141" t="s">
        <v>647</v>
      </c>
      <c r="D211" s="118"/>
      <c r="E211" s="118"/>
      <c r="F211" s="118"/>
      <c r="G211" s="83"/>
      <c r="H211" s="84"/>
      <c r="I211" s="84"/>
    </row>
    <row r="212" spans="1:11" customFormat="1" hidden="1" outlineLevel="2" x14ac:dyDescent="0.25">
      <c r="A212" s="445"/>
      <c r="B212" s="70" t="s">
        <v>648</v>
      </c>
      <c r="C212" s="141"/>
      <c r="D212" s="118">
        <f t="shared" ref="D212:D275" si="8">F212-E212</f>
        <v>488.33</v>
      </c>
      <c r="E212" s="118">
        <f t="shared" si="7"/>
        <v>97.67</v>
      </c>
      <c r="F212" s="118">
        <v>586</v>
      </c>
      <c r="G212" s="83"/>
      <c r="H212" s="84"/>
      <c r="I212" s="84"/>
    </row>
    <row r="213" spans="1:11" customFormat="1" hidden="1" outlineLevel="2" x14ac:dyDescent="0.25">
      <c r="A213" s="448"/>
      <c r="B213" s="70" t="s">
        <v>649</v>
      </c>
      <c r="C213" s="141"/>
      <c r="D213" s="118">
        <f t="shared" si="8"/>
        <v>610</v>
      </c>
      <c r="E213" s="118">
        <f t="shared" si="7"/>
        <v>122</v>
      </c>
      <c r="F213" s="118">
        <v>732</v>
      </c>
      <c r="G213" s="83"/>
      <c r="H213" s="84"/>
      <c r="I213" s="84"/>
    </row>
    <row r="214" spans="1:11" customFormat="1" hidden="1" outlineLevel="2" x14ac:dyDescent="0.25">
      <c r="A214" s="448"/>
      <c r="B214" s="70" t="s">
        <v>650</v>
      </c>
      <c r="C214" s="141"/>
      <c r="D214" s="118">
        <f t="shared" si="8"/>
        <v>854.17</v>
      </c>
      <c r="E214" s="118">
        <f t="shared" si="7"/>
        <v>170.83</v>
      </c>
      <c r="F214" s="118">
        <v>1025</v>
      </c>
      <c r="G214" s="83"/>
      <c r="H214" s="84"/>
      <c r="I214" s="84"/>
    </row>
    <row r="215" spans="1:11" customFormat="1" hidden="1" outlineLevel="2" x14ac:dyDescent="0.25">
      <c r="A215" s="446"/>
      <c r="B215" s="70" t="s">
        <v>651</v>
      </c>
      <c r="C215" s="141"/>
      <c r="D215" s="118">
        <f t="shared" si="8"/>
        <v>1220</v>
      </c>
      <c r="E215" s="118">
        <f t="shared" si="7"/>
        <v>244</v>
      </c>
      <c r="F215" s="118">
        <v>1464</v>
      </c>
      <c r="G215" s="83"/>
      <c r="H215" s="84"/>
      <c r="I215" s="84"/>
    </row>
    <row r="216" spans="1:11" customFormat="1" hidden="1" outlineLevel="1" x14ac:dyDescent="0.25">
      <c r="A216" s="144" t="s">
        <v>1309</v>
      </c>
      <c r="B216" s="70" t="s">
        <v>652</v>
      </c>
      <c r="C216" s="141" t="s">
        <v>647</v>
      </c>
      <c r="D216" s="118"/>
      <c r="E216" s="118"/>
      <c r="F216" s="118"/>
      <c r="G216" s="83"/>
      <c r="H216" s="84"/>
      <c r="I216" s="84"/>
    </row>
    <row r="217" spans="1:11" customFormat="1" hidden="1" outlineLevel="2" x14ac:dyDescent="0.25">
      <c r="A217" s="445"/>
      <c r="B217" s="70" t="s">
        <v>653</v>
      </c>
      <c r="C217" s="141"/>
      <c r="D217" s="118">
        <f t="shared" si="8"/>
        <v>145.82999999999998</v>
      </c>
      <c r="E217" s="118">
        <f t="shared" si="7"/>
        <v>29.17</v>
      </c>
      <c r="F217" s="118">
        <v>175</v>
      </c>
      <c r="G217" s="83"/>
      <c r="H217" s="84"/>
      <c r="I217" s="84"/>
    </row>
    <row r="218" spans="1:11" customFormat="1" hidden="1" outlineLevel="2" x14ac:dyDescent="0.25">
      <c r="A218" s="446"/>
      <c r="B218" s="70" t="s">
        <v>654</v>
      </c>
      <c r="C218" s="141"/>
      <c r="D218" s="118">
        <f t="shared" si="8"/>
        <v>317.5</v>
      </c>
      <c r="E218" s="118">
        <f t="shared" si="7"/>
        <v>63.5</v>
      </c>
      <c r="F218" s="118">
        <v>381</v>
      </c>
      <c r="G218" s="83"/>
      <c r="H218" s="84"/>
      <c r="I218" s="84"/>
    </row>
    <row r="219" spans="1:11" customFormat="1" hidden="1" outlineLevel="1" x14ac:dyDescent="0.25">
      <c r="A219" s="144" t="s">
        <v>1310</v>
      </c>
      <c r="B219" s="70" t="s">
        <v>655</v>
      </c>
      <c r="C219" s="141" t="s">
        <v>487</v>
      </c>
      <c r="D219" s="118">
        <f t="shared" si="8"/>
        <v>73.33</v>
      </c>
      <c r="E219" s="118">
        <f t="shared" si="7"/>
        <v>14.67</v>
      </c>
      <c r="F219" s="118">
        <v>88</v>
      </c>
      <c r="G219" s="83"/>
      <c r="H219" s="84"/>
      <c r="I219" s="84"/>
    </row>
    <row r="220" spans="1:11" customFormat="1" ht="38.25" hidden="1" outlineLevel="1" x14ac:dyDescent="0.25">
      <c r="A220" s="144" t="s">
        <v>1311</v>
      </c>
      <c r="B220" s="70" t="s">
        <v>656</v>
      </c>
      <c r="C220" s="141" t="s">
        <v>657</v>
      </c>
      <c r="D220" s="118">
        <f t="shared" si="8"/>
        <v>97.5</v>
      </c>
      <c r="E220" s="118">
        <f t="shared" si="7"/>
        <v>19.5</v>
      </c>
      <c r="F220" s="118">
        <v>117</v>
      </c>
      <c r="G220" s="83"/>
      <c r="H220" s="84"/>
      <c r="I220" s="84"/>
    </row>
    <row r="221" spans="1:11" customFormat="1" hidden="1" outlineLevel="1" x14ac:dyDescent="0.25">
      <c r="A221" s="144" t="s">
        <v>1312</v>
      </c>
      <c r="B221" s="70" t="s">
        <v>658</v>
      </c>
      <c r="C221" s="141" t="s">
        <v>659</v>
      </c>
      <c r="D221" s="118">
        <f t="shared" si="8"/>
        <v>121.67</v>
      </c>
      <c r="E221" s="118">
        <f t="shared" si="7"/>
        <v>24.33</v>
      </c>
      <c r="F221" s="118">
        <v>146</v>
      </c>
      <c r="G221" s="83"/>
      <c r="H221" s="84"/>
      <c r="I221" s="84"/>
    </row>
    <row r="222" spans="1:11" customFormat="1" hidden="1" outlineLevel="1" x14ac:dyDescent="0.25">
      <c r="A222" s="144" t="s">
        <v>1313</v>
      </c>
      <c r="B222" s="70" t="s">
        <v>660</v>
      </c>
      <c r="C222" s="141" t="s">
        <v>659</v>
      </c>
      <c r="D222" s="118">
        <f t="shared" si="8"/>
        <v>283.33</v>
      </c>
      <c r="E222" s="118">
        <f t="shared" si="7"/>
        <v>56.67</v>
      </c>
      <c r="F222" s="118">
        <v>340</v>
      </c>
      <c r="G222" s="83"/>
      <c r="H222" s="84"/>
      <c r="I222" s="84"/>
    </row>
    <row r="223" spans="1:11" customFormat="1" hidden="1" outlineLevel="1" x14ac:dyDescent="0.25">
      <c r="A223" s="144" t="s">
        <v>1314</v>
      </c>
      <c r="B223" s="70" t="s">
        <v>661</v>
      </c>
      <c r="C223" s="141" t="s">
        <v>659</v>
      </c>
      <c r="D223" s="118">
        <f t="shared" si="8"/>
        <v>365.83</v>
      </c>
      <c r="E223" s="118">
        <f t="shared" si="7"/>
        <v>73.17</v>
      </c>
      <c r="F223" s="118">
        <v>439</v>
      </c>
      <c r="G223" s="83"/>
      <c r="H223" s="84"/>
      <c r="I223" s="84"/>
    </row>
    <row r="224" spans="1:11" customFormat="1" hidden="1" outlineLevel="1" x14ac:dyDescent="0.25">
      <c r="A224" s="144" t="s">
        <v>1315</v>
      </c>
      <c r="B224" s="70" t="s">
        <v>662</v>
      </c>
      <c r="C224" s="141" t="s">
        <v>659</v>
      </c>
      <c r="D224" s="118">
        <f t="shared" si="8"/>
        <v>97.5</v>
      </c>
      <c r="E224" s="118">
        <f t="shared" si="7"/>
        <v>19.5</v>
      </c>
      <c r="F224" s="118">
        <v>117</v>
      </c>
      <c r="G224" s="83"/>
      <c r="H224" s="84"/>
      <c r="I224" s="84"/>
    </row>
    <row r="225" spans="1:9" customFormat="1" hidden="1" outlineLevel="1" x14ac:dyDescent="0.25">
      <c r="A225" s="144" t="s">
        <v>1316</v>
      </c>
      <c r="B225" s="70" t="s">
        <v>663</v>
      </c>
      <c r="C225" s="141" t="s">
        <v>487</v>
      </c>
      <c r="D225" s="118"/>
      <c r="E225" s="118"/>
      <c r="F225" s="118"/>
      <c r="G225" s="83"/>
      <c r="H225" s="84"/>
      <c r="I225" s="84"/>
    </row>
    <row r="226" spans="1:9" customFormat="1" hidden="1" outlineLevel="2" x14ac:dyDescent="0.25">
      <c r="A226" s="445"/>
      <c r="B226" s="70" t="s">
        <v>664</v>
      </c>
      <c r="C226" s="141"/>
      <c r="D226" s="118">
        <f t="shared" si="8"/>
        <v>225.82999999999998</v>
      </c>
      <c r="E226" s="118">
        <f t="shared" si="7"/>
        <v>45.17</v>
      </c>
      <c r="F226" s="118">
        <v>271</v>
      </c>
      <c r="G226" s="83"/>
      <c r="H226" s="84"/>
      <c r="I226" s="84"/>
    </row>
    <row r="227" spans="1:9" customFormat="1" hidden="1" outlineLevel="2" x14ac:dyDescent="0.25">
      <c r="A227" s="448"/>
      <c r="B227" s="70" t="s">
        <v>665</v>
      </c>
      <c r="C227" s="141"/>
      <c r="D227" s="118">
        <f t="shared" si="8"/>
        <v>378.33</v>
      </c>
      <c r="E227" s="118">
        <f t="shared" si="7"/>
        <v>75.67</v>
      </c>
      <c r="F227" s="118">
        <v>454</v>
      </c>
      <c r="G227" s="83"/>
      <c r="H227" s="84"/>
      <c r="I227" s="84"/>
    </row>
    <row r="228" spans="1:9" customFormat="1" hidden="1" outlineLevel="2" x14ac:dyDescent="0.25">
      <c r="A228" s="448"/>
      <c r="B228" s="70" t="s">
        <v>666</v>
      </c>
      <c r="C228" s="141"/>
      <c r="D228" s="118">
        <f t="shared" si="8"/>
        <v>566.66999999999996</v>
      </c>
      <c r="E228" s="118">
        <f t="shared" si="7"/>
        <v>113.33</v>
      </c>
      <c r="F228" s="118">
        <v>680</v>
      </c>
      <c r="G228" s="83"/>
      <c r="H228" s="84"/>
      <c r="I228" s="84"/>
    </row>
    <row r="229" spans="1:9" customFormat="1" hidden="1" outlineLevel="2" x14ac:dyDescent="0.25">
      <c r="A229" s="446"/>
      <c r="B229" s="70" t="s">
        <v>667</v>
      </c>
      <c r="C229" s="141"/>
      <c r="D229" s="118">
        <f t="shared" si="8"/>
        <v>831.67</v>
      </c>
      <c r="E229" s="118">
        <f t="shared" si="7"/>
        <v>166.33</v>
      </c>
      <c r="F229" s="118">
        <v>998</v>
      </c>
      <c r="G229" s="83"/>
      <c r="H229" s="84"/>
      <c r="I229" s="84"/>
    </row>
    <row r="230" spans="1:9" customFormat="1" hidden="1" outlineLevel="1" x14ac:dyDescent="0.25">
      <c r="A230" s="144" t="s">
        <v>1317</v>
      </c>
      <c r="B230" s="70" t="s">
        <v>668</v>
      </c>
      <c r="C230" s="141" t="s">
        <v>487</v>
      </c>
      <c r="D230" s="118"/>
      <c r="E230" s="118"/>
      <c r="F230" s="118"/>
      <c r="G230" s="83"/>
      <c r="H230" s="84"/>
      <c r="I230" s="84"/>
    </row>
    <row r="231" spans="1:9" customFormat="1" hidden="1" outlineLevel="2" x14ac:dyDescent="0.25">
      <c r="A231" s="445"/>
      <c r="B231" s="70" t="s">
        <v>664</v>
      </c>
      <c r="C231" s="141"/>
      <c r="D231" s="118">
        <f t="shared" si="8"/>
        <v>104.17</v>
      </c>
      <c r="E231" s="118">
        <f t="shared" si="7"/>
        <v>20.83</v>
      </c>
      <c r="F231" s="118">
        <v>125</v>
      </c>
      <c r="G231" s="83"/>
      <c r="H231" s="84"/>
      <c r="I231" s="84"/>
    </row>
    <row r="232" spans="1:9" customFormat="1" hidden="1" outlineLevel="2" x14ac:dyDescent="0.25">
      <c r="A232" s="448"/>
      <c r="B232" s="70" t="s">
        <v>665</v>
      </c>
      <c r="C232" s="141"/>
      <c r="D232" s="118">
        <f t="shared" si="8"/>
        <v>156.67000000000002</v>
      </c>
      <c r="E232" s="118">
        <f t="shared" si="7"/>
        <v>31.33</v>
      </c>
      <c r="F232" s="118">
        <v>188</v>
      </c>
      <c r="G232" s="83"/>
      <c r="H232" s="84"/>
      <c r="I232" s="84"/>
    </row>
    <row r="233" spans="1:9" customFormat="1" hidden="1" outlineLevel="2" x14ac:dyDescent="0.25">
      <c r="A233" s="448"/>
      <c r="B233" s="70" t="s">
        <v>666</v>
      </c>
      <c r="C233" s="141"/>
      <c r="D233" s="118">
        <f t="shared" si="8"/>
        <v>219.17000000000002</v>
      </c>
      <c r="E233" s="118">
        <f t="shared" si="7"/>
        <v>43.83</v>
      </c>
      <c r="F233" s="118">
        <v>263</v>
      </c>
      <c r="G233" s="83"/>
      <c r="H233" s="84"/>
      <c r="I233" s="84"/>
    </row>
    <row r="234" spans="1:9" customFormat="1" hidden="1" outlineLevel="2" x14ac:dyDescent="0.25">
      <c r="A234" s="446"/>
      <c r="B234" s="70" t="s">
        <v>667</v>
      </c>
      <c r="C234" s="141"/>
      <c r="D234" s="118">
        <f t="shared" si="8"/>
        <v>274.17</v>
      </c>
      <c r="E234" s="118">
        <f t="shared" si="7"/>
        <v>54.83</v>
      </c>
      <c r="F234" s="118">
        <v>329</v>
      </c>
      <c r="G234" s="83"/>
      <c r="H234" s="84"/>
      <c r="I234" s="84"/>
    </row>
    <row r="235" spans="1:9" customFormat="1" hidden="1" outlineLevel="1" x14ac:dyDescent="0.25">
      <c r="A235" s="144" t="s">
        <v>1318</v>
      </c>
      <c r="B235" s="70" t="s">
        <v>669</v>
      </c>
      <c r="C235" s="141" t="s">
        <v>543</v>
      </c>
      <c r="D235" s="118">
        <f t="shared" si="8"/>
        <v>244.17000000000002</v>
      </c>
      <c r="E235" s="118">
        <f t="shared" si="7"/>
        <v>48.83</v>
      </c>
      <c r="F235" s="118">
        <v>293</v>
      </c>
      <c r="G235" s="83"/>
      <c r="H235" s="84"/>
      <c r="I235" s="84"/>
    </row>
    <row r="236" spans="1:9" customFormat="1" hidden="1" outlineLevel="1" x14ac:dyDescent="0.25">
      <c r="A236" s="144" t="s">
        <v>1319</v>
      </c>
      <c r="B236" s="70" t="s">
        <v>670</v>
      </c>
      <c r="C236" s="141" t="s">
        <v>543</v>
      </c>
      <c r="D236" s="118">
        <f t="shared" si="8"/>
        <v>244.17000000000002</v>
      </c>
      <c r="E236" s="118">
        <f t="shared" si="7"/>
        <v>48.83</v>
      </c>
      <c r="F236" s="118">
        <v>293</v>
      </c>
      <c r="G236" s="83"/>
      <c r="H236" s="84"/>
      <c r="I236" s="84"/>
    </row>
    <row r="237" spans="1:9" customFormat="1" hidden="1" outlineLevel="1" x14ac:dyDescent="0.25">
      <c r="A237" s="144" t="s">
        <v>1320</v>
      </c>
      <c r="B237" s="70" t="s">
        <v>671</v>
      </c>
      <c r="C237" s="141" t="s">
        <v>543</v>
      </c>
      <c r="D237" s="118">
        <f t="shared" si="8"/>
        <v>365.83</v>
      </c>
      <c r="E237" s="118">
        <f t="shared" si="7"/>
        <v>73.17</v>
      </c>
      <c r="F237" s="118">
        <v>439</v>
      </c>
      <c r="G237" s="83"/>
      <c r="H237" s="84"/>
      <c r="I237" s="84"/>
    </row>
    <row r="238" spans="1:9" customFormat="1" hidden="1" outlineLevel="1" x14ac:dyDescent="0.25">
      <c r="A238" s="144" t="s">
        <v>1321</v>
      </c>
      <c r="B238" s="70" t="s">
        <v>672</v>
      </c>
      <c r="C238" s="141" t="s">
        <v>543</v>
      </c>
      <c r="D238" s="118">
        <f t="shared" si="8"/>
        <v>97.5</v>
      </c>
      <c r="E238" s="118">
        <f t="shared" si="7"/>
        <v>19.5</v>
      </c>
      <c r="F238" s="118">
        <v>117</v>
      </c>
      <c r="G238" s="83"/>
      <c r="H238" s="84"/>
      <c r="I238" s="84"/>
    </row>
    <row r="239" spans="1:9" customFormat="1" hidden="1" outlineLevel="1" x14ac:dyDescent="0.25">
      <c r="A239" s="144" t="s">
        <v>1322</v>
      </c>
      <c r="B239" s="70" t="s">
        <v>673</v>
      </c>
      <c r="C239" s="141" t="s">
        <v>487</v>
      </c>
      <c r="D239" s="118">
        <f t="shared" si="8"/>
        <v>145.82999999999998</v>
      </c>
      <c r="E239" s="118">
        <f t="shared" si="7"/>
        <v>29.17</v>
      </c>
      <c r="F239" s="118">
        <v>175</v>
      </c>
      <c r="G239" s="83"/>
      <c r="H239" s="84"/>
      <c r="I239" s="84"/>
    </row>
    <row r="240" spans="1:9" customFormat="1" hidden="1" outlineLevel="1" x14ac:dyDescent="0.25">
      <c r="A240" s="144" t="s">
        <v>1323</v>
      </c>
      <c r="B240" s="70" t="s">
        <v>674</v>
      </c>
      <c r="C240" s="141" t="s">
        <v>487</v>
      </c>
      <c r="D240" s="118"/>
      <c r="E240" s="118"/>
      <c r="F240" s="118"/>
      <c r="G240" s="83"/>
      <c r="H240" s="84"/>
      <c r="I240" s="84"/>
    </row>
    <row r="241" spans="1:9" customFormat="1" hidden="1" outlineLevel="2" x14ac:dyDescent="0.25">
      <c r="A241" s="445"/>
      <c r="B241" s="70" t="s">
        <v>627</v>
      </c>
      <c r="C241" s="141"/>
      <c r="D241" s="118">
        <f t="shared" si="8"/>
        <v>1341.67</v>
      </c>
      <c r="E241" s="118">
        <f t="shared" si="7"/>
        <v>268.33</v>
      </c>
      <c r="F241" s="118">
        <v>1610</v>
      </c>
      <c r="G241" s="83"/>
      <c r="H241" s="84"/>
      <c r="I241" s="84"/>
    </row>
    <row r="242" spans="1:9" customFormat="1" hidden="1" outlineLevel="2" x14ac:dyDescent="0.25">
      <c r="A242" s="446"/>
      <c r="B242" s="70" t="s">
        <v>675</v>
      </c>
      <c r="C242" s="141"/>
      <c r="D242" s="118">
        <f t="shared" si="8"/>
        <v>1220</v>
      </c>
      <c r="E242" s="118">
        <f t="shared" si="7"/>
        <v>244</v>
      </c>
      <c r="F242" s="118">
        <v>1464</v>
      </c>
      <c r="G242" s="83"/>
      <c r="H242" s="84"/>
      <c r="I242" s="84"/>
    </row>
    <row r="243" spans="1:9" customFormat="1" hidden="1" outlineLevel="1" x14ac:dyDescent="0.25">
      <c r="A243" s="144" t="s">
        <v>1324</v>
      </c>
      <c r="B243" s="70" t="s">
        <v>676</v>
      </c>
      <c r="C243" s="141" t="s">
        <v>487</v>
      </c>
      <c r="D243" s="118"/>
      <c r="E243" s="118"/>
      <c r="F243" s="118"/>
      <c r="G243" s="83"/>
      <c r="H243" s="84"/>
      <c r="I243" s="84"/>
    </row>
    <row r="244" spans="1:9" customFormat="1" hidden="1" outlineLevel="2" x14ac:dyDescent="0.25">
      <c r="A244" s="445"/>
      <c r="B244" s="70" t="s">
        <v>627</v>
      </c>
      <c r="C244" s="141"/>
      <c r="D244" s="118">
        <f t="shared" si="8"/>
        <v>731.67</v>
      </c>
      <c r="E244" s="118">
        <f t="shared" si="7"/>
        <v>146.33000000000001</v>
      </c>
      <c r="F244" s="118">
        <v>878</v>
      </c>
      <c r="G244" s="83"/>
      <c r="H244" s="84"/>
      <c r="I244" s="84"/>
    </row>
    <row r="245" spans="1:9" customFormat="1" hidden="1" outlineLevel="2" x14ac:dyDescent="0.25">
      <c r="A245" s="446"/>
      <c r="B245" s="70" t="s">
        <v>675</v>
      </c>
      <c r="C245" s="141"/>
      <c r="D245" s="118">
        <f t="shared" si="8"/>
        <v>1464.17</v>
      </c>
      <c r="E245" s="118">
        <f t="shared" si="7"/>
        <v>292.83</v>
      </c>
      <c r="F245" s="118">
        <v>1757</v>
      </c>
      <c r="G245" s="83"/>
      <c r="H245" s="84"/>
      <c r="I245" s="84"/>
    </row>
    <row r="246" spans="1:9" customFormat="1" hidden="1" outlineLevel="1" x14ac:dyDescent="0.25">
      <c r="A246" s="144" t="s">
        <v>1325</v>
      </c>
      <c r="B246" s="70" t="s">
        <v>677</v>
      </c>
      <c r="C246" s="141" t="s">
        <v>487</v>
      </c>
      <c r="D246" s="118"/>
      <c r="E246" s="118"/>
      <c r="F246" s="118"/>
      <c r="G246" s="83"/>
      <c r="H246" s="84"/>
      <c r="I246" s="84"/>
    </row>
    <row r="247" spans="1:9" customFormat="1" hidden="1" outlineLevel="2" x14ac:dyDescent="0.25">
      <c r="A247" s="445"/>
      <c r="B247" s="70" t="s">
        <v>627</v>
      </c>
      <c r="C247" s="141"/>
      <c r="D247" s="118">
        <f t="shared" si="8"/>
        <v>439.17</v>
      </c>
      <c r="E247" s="118">
        <f t="shared" si="7"/>
        <v>87.83</v>
      </c>
      <c r="F247" s="118">
        <v>527</v>
      </c>
      <c r="G247" s="83"/>
      <c r="H247" s="84"/>
      <c r="I247" s="84"/>
    </row>
    <row r="248" spans="1:9" customFormat="1" hidden="1" outlineLevel="2" x14ac:dyDescent="0.25">
      <c r="A248" s="446"/>
      <c r="B248" s="70" t="s">
        <v>675</v>
      </c>
      <c r="C248" s="141"/>
      <c r="D248" s="118">
        <f t="shared" si="8"/>
        <v>610</v>
      </c>
      <c r="E248" s="118">
        <f t="shared" si="7"/>
        <v>122</v>
      </c>
      <c r="F248" s="118">
        <v>732</v>
      </c>
      <c r="G248" s="83"/>
      <c r="H248" s="84"/>
      <c r="I248" s="84"/>
    </row>
    <row r="249" spans="1:9" customFormat="1" hidden="1" outlineLevel="1" x14ac:dyDescent="0.25">
      <c r="A249" s="144" t="s">
        <v>1326</v>
      </c>
      <c r="B249" s="70" t="s">
        <v>678</v>
      </c>
      <c r="C249" s="141" t="s">
        <v>487</v>
      </c>
      <c r="D249" s="118">
        <f t="shared" si="8"/>
        <v>488.33</v>
      </c>
      <c r="E249" s="118">
        <f t="shared" si="7"/>
        <v>97.67</v>
      </c>
      <c r="F249" s="118">
        <v>586</v>
      </c>
      <c r="G249" s="83"/>
      <c r="H249" s="84"/>
      <c r="I249" s="84"/>
    </row>
    <row r="250" spans="1:9" customFormat="1" hidden="1" outlineLevel="1" x14ac:dyDescent="0.25">
      <c r="A250" s="144" t="s">
        <v>1327</v>
      </c>
      <c r="B250" s="70" t="s">
        <v>679</v>
      </c>
      <c r="C250" s="141" t="s">
        <v>487</v>
      </c>
      <c r="D250" s="118">
        <f t="shared" si="8"/>
        <v>244.17000000000002</v>
      </c>
      <c r="E250" s="118">
        <f t="shared" si="7"/>
        <v>48.83</v>
      </c>
      <c r="F250" s="118">
        <v>293</v>
      </c>
      <c r="G250" s="83"/>
      <c r="H250" s="84"/>
      <c r="I250" s="84"/>
    </row>
    <row r="251" spans="1:9" customFormat="1" hidden="1" outlineLevel="1" x14ac:dyDescent="0.25">
      <c r="A251" s="144" t="s">
        <v>1328</v>
      </c>
      <c r="B251" s="70" t="s">
        <v>680</v>
      </c>
      <c r="C251" s="141" t="s">
        <v>487</v>
      </c>
      <c r="D251" s="118">
        <f t="shared" si="8"/>
        <v>121.67</v>
      </c>
      <c r="E251" s="118">
        <f t="shared" si="7"/>
        <v>24.33</v>
      </c>
      <c r="F251" s="118">
        <v>146</v>
      </c>
      <c r="G251" s="83"/>
      <c r="H251" s="84"/>
      <c r="I251" s="84"/>
    </row>
    <row r="252" spans="1:9" customFormat="1" hidden="1" outlineLevel="1" x14ac:dyDescent="0.25">
      <c r="A252" s="144" t="s">
        <v>1329</v>
      </c>
      <c r="B252" s="70" t="s">
        <v>681</v>
      </c>
      <c r="C252" s="141" t="s">
        <v>487</v>
      </c>
      <c r="D252" s="118">
        <f t="shared" si="8"/>
        <v>731.67</v>
      </c>
      <c r="E252" s="118">
        <f t="shared" si="7"/>
        <v>146.33000000000001</v>
      </c>
      <c r="F252" s="118">
        <v>878</v>
      </c>
      <c r="G252" s="83"/>
      <c r="H252" s="84"/>
      <c r="I252" s="84"/>
    </row>
    <row r="253" spans="1:9" customFormat="1" hidden="1" outlineLevel="1" x14ac:dyDescent="0.25">
      <c r="A253" s="144" t="s">
        <v>1330</v>
      </c>
      <c r="B253" s="70" t="s">
        <v>682</v>
      </c>
      <c r="C253" s="141" t="s">
        <v>487</v>
      </c>
      <c r="D253" s="118"/>
      <c r="E253" s="118"/>
      <c r="F253" s="118"/>
      <c r="G253" s="83"/>
      <c r="H253" s="84"/>
      <c r="I253" s="84"/>
    </row>
    <row r="254" spans="1:9" customFormat="1" hidden="1" outlineLevel="2" x14ac:dyDescent="0.25">
      <c r="A254" s="445"/>
      <c r="B254" s="70" t="s">
        <v>627</v>
      </c>
      <c r="C254" s="141"/>
      <c r="D254" s="118">
        <f t="shared" si="8"/>
        <v>731.67</v>
      </c>
      <c r="E254" s="118">
        <f t="shared" si="7"/>
        <v>146.33000000000001</v>
      </c>
      <c r="F254" s="118">
        <v>878</v>
      </c>
      <c r="G254" s="83"/>
      <c r="H254" s="84"/>
      <c r="I254" s="84"/>
    </row>
    <row r="255" spans="1:9" customFormat="1" hidden="1" outlineLevel="2" x14ac:dyDescent="0.25">
      <c r="A255" s="446"/>
      <c r="B255" s="70" t="s">
        <v>675</v>
      </c>
      <c r="C255" s="141"/>
      <c r="D255" s="118">
        <f t="shared" si="8"/>
        <v>1220</v>
      </c>
      <c r="E255" s="118">
        <f t="shared" si="7"/>
        <v>244</v>
      </c>
      <c r="F255" s="118">
        <v>1464</v>
      </c>
      <c r="G255" s="83"/>
      <c r="H255" s="84"/>
      <c r="I255" s="84"/>
    </row>
    <row r="256" spans="1:9" customFormat="1" hidden="1" outlineLevel="1" x14ac:dyDescent="0.25">
      <c r="A256" s="144" t="s">
        <v>1331</v>
      </c>
      <c r="B256" s="70" t="s">
        <v>683</v>
      </c>
      <c r="C256" s="141" t="s">
        <v>487</v>
      </c>
      <c r="D256" s="118">
        <f t="shared" si="8"/>
        <v>292.5</v>
      </c>
      <c r="E256" s="118">
        <f t="shared" si="7"/>
        <v>58.5</v>
      </c>
      <c r="F256" s="118">
        <v>351</v>
      </c>
      <c r="G256" s="83"/>
      <c r="H256" s="84"/>
      <c r="I256" s="84"/>
    </row>
    <row r="257" spans="1:9" customFormat="1" hidden="1" outlineLevel="1" x14ac:dyDescent="0.25">
      <c r="A257" s="144" t="s">
        <v>1332</v>
      </c>
      <c r="B257" s="70" t="s">
        <v>684</v>
      </c>
      <c r="C257" s="141" t="s">
        <v>487</v>
      </c>
      <c r="D257" s="118"/>
      <c r="E257" s="118"/>
      <c r="F257" s="118"/>
      <c r="G257" s="83"/>
      <c r="H257" s="84"/>
      <c r="I257" s="84"/>
    </row>
    <row r="258" spans="1:9" customFormat="1" hidden="1" outlineLevel="2" x14ac:dyDescent="0.25">
      <c r="A258" s="445"/>
      <c r="B258" s="70" t="s">
        <v>644</v>
      </c>
      <c r="C258" s="141"/>
      <c r="D258" s="118">
        <f t="shared" si="8"/>
        <v>610</v>
      </c>
      <c r="E258" s="118">
        <f t="shared" si="7"/>
        <v>122</v>
      </c>
      <c r="F258" s="118">
        <v>732</v>
      </c>
      <c r="G258" s="83"/>
      <c r="H258" s="84"/>
      <c r="I258" s="84"/>
    </row>
    <row r="259" spans="1:9" customFormat="1" hidden="1" outlineLevel="2" x14ac:dyDescent="0.25">
      <c r="A259" s="446"/>
      <c r="B259" s="70" t="s">
        <v>685</v>
      </c>
      <c r="C259" s="141"/>
      <c r="D259" s="118">
        <f t="shared" si="8"/>
        <v>975.83</v>
      </c>
      <c r="E259" s="118">
        <f t="shared" si="7"/>
        <v>195.17</v>
      </c>
      <c r="F259" s="118">
        <v>1171</v>
      </c>
      <c r="G259" s="83"/>
      <c r="H259" s="84"/>
      <c r="I259" s="84"/>
    </row>
    <row r="260" spans="1:9" customFormat="1" hidden="1" outlineLevel="1" x14ac:dyDescent="0.25">
      <c r="A260" s="144" t="s">
        <v>1333</v>
      </c>
      <c r="B260" s="70" t="s">
        <v>686</v>
      </c>
      <c r="C260" s="141" t="s">
        <v>487</v>
      </c>
      <c r="D260" s="118"/>
      <c r="E260" s="118"/>
      <c r="F260" s="118"/>
      <c r="G260" s="83"/>
      <c r="H260" s="84"/>
      <c r="I260" s="84"/>
    </row>
    <row r="261" spans="1:9" customFormat="1" hidden="1" outlineLevel="2" x14ac:dyDescent="0.25">
      <c r="A261" s="445"/>
      <c r="B261" s="70" t="s">
        <v>644</v>
      </c>
      <c r="C261" s="141"/>
      <c r="D261" s="118">
        <f t="shared" si="8"/>
        <v>1220</v>
      </c>
      <c r="E261" s="118">
        <f t="shared" si="7"/>
        <v>244</v>
      </c>
      <c r="F261" s="118">
        <v>1464</v>
      </c>
      <c r="G261" s="83"/>
      <c r="H261" s="84"/>
      <c r="I261" s="84"/>
    </row>
    <row r="262" spans="1:9" customFormat="1" hidden="1" outlineLevel="2" x14ac:dyDescent="0.25">
      <c r="A262" s="446"/>
      <c r="B262" s="70" t="s">
        <v>685</v>
      </c>
      <c r="C262" s="141"/>
      <c r="D262" s="118">
        <f t="shared" si="8"/>
        <v>1952.5</v>
      </c>
      <c r="E262" s="118">
        <f t="shared" si="7"/>
        <v>390.5</v>
      </c>
      <c r="F262" s="118">
        <v>2343</v>
      </c>
      <c r="G262" s="83"/>
      <c r="H262" s="84"/>
      <c r="I262" s="84"/>
    </row>
    <row r="263" spans="1:9" customFormat="1" hidden="1" outlineLevel="1" x14ac:dyDescent="0.25">
      <c r="A263" s="144" t="s">
        <v>1334</v>
      </c>
      <c r="B263" s="70" t="s">
        <v>1215</v>
      </c>
      <c r="C263" s="141" t="s">
        <v>487</v>
      </c>
      <c r="D263" s="118"/>
      <c r="E263" s="118"/>
      <c r="F263" s="118"/>
      <c r="G263" s="83"/>
      <c r="H263" s="84"/>
      <c r="I263" s="84"/>
    </row>
    <row r="264" spans="1:9" customFormat="1" hidden="1" outlineLevel="2" x14ac:dyDescent="0.25">
      <c r="A264" s="445"/>
      <c r="B264" s="70" t="s">
        <v>988</v>
      </c>
      <c r="C264" s="141"/>
      <c r="D264" s="118">
        <f t="shared" si="8"/>
        <v>975.83</v>
      </c>
      <c r="E264" s="118">
        <f t="shared" si="7"/>
        <v>195.17</v>
      </c>
      <c r="F264" s="118">
        <v>1171</v>
      </c>
      <c r="G264" s="83"/>
      <c r="H264" s="84"/>
      <c r="I264" s="84"/>
    </row>
    <row r="265" spans="1:9" customFormat="1" hidden="1" outlineLevel="2" x14ac:dyDescent="0.25">
      <c r="A265" s="446"/>
      <c r="B265" s="70" t="s">
        <v>987</v>
      </c>
      <c r="C265" s="141"/>
      <c r="D265" s="118">
        <f t="shared" si="8"/>
        <v>1088.33</v>
      </c>
      <c r="E265" s="118">
        <f t="shared" si="7"/>
        <v>217.67</v>
      </c>
      <c r="F265" s="118">
        <v>1306</v>
      </c>
      <c r="G265" s="83"/>
      <c r="H265" s="84"/>
      <c r="I265" s="84"/>
    </row>
    <row r="266" spans="1:9" customFormat="1" ht="31.5" hidden="1" outlineLevel="1" x14ac:dyDescent="0.25">
      <c r="A266" s="144" t="s">
        <v>1335</v>
      </c>
      <c r="B266" s="70" t="s">
        <v>1216</v>
      </c>
      <c r="C266" s="141" t="s">
        <v>487</v>
      </c>
      <c r="D266" s="118"/>
      <c r="E266" s="118"/>
      <c r="F266" s="118"/>
      <c r="G266" s="83"/>
      <c r="H266" s="84"/>
      <c r="I266" s="84"/>
    </row>
    <row r="267" spans="1:9" customFormat="1" hidden="1" outlineLevel="2" x14ac:dyDescent="0.25">
      <c r="A267" s="445"/>
      <c r="B267" s="70" t="s">
        <v>687</v>
      </c>
      <c r="C267" s="141"/>
      <c r="D267" s="118">
        <f t="shared" si="8"/>
        <v>365.83</v>
      </c>
      <c r="E267" s="118">
        <f t="shared" si="7"/>
        <v>73.17</v>
      </c>
      <c r="F267" s="118">
        <v>439</v>
      </c>
      <c r="G267" s="83"/>
      <c r="H267" s="84"/>
      <c r="I267" s="84"/>
    </row>
    <row r="268" spans="1:9" customFormat="1" hidden="1" outlineLevel="2" x14ac:dyDescent="0.25">
      <c r="A268" s="446"/>
      <c r="B268" s="70" t="s">
        <v>688</v>
      </c>
      <c r="C268" s="141"/>
      <c r="D268" s="118">
        <f t="shared" si="8"/>
        <v>895</v>
      </c>
      <c r="E268" s="118">
        <f t="shared" si="7"/>
        <v>179</v>
      </c>
      <c r="F268" s="118">
        <v>1074</v>
      </c>
      <c r="G268" s="83"/>
      <c r="H268" s="84"/>
      <c r="I268" s="84"/>
    </row>
    <row r="269" spans="1:9" customFormat="1" ht="31.5" hidden="1" outlineLevel="1" x14ac:dyDescent="0.25">
      <c r="A269" s="144" t="s">
        <v>1336</v>
      </c>
      <c r="B269" s="70" t="s">
        <v>689</v>
      </c>
      <c r="C269" s="141" t="s">
        <v>487</v>
      </c>
      <c r="D269" s="118">
        <f t="shared" si="8"/>
        <v>2260</v>
      </c>
      <c r="E269" s="118">
        <f t="shared" si="7"/>
        <v>452</v>
      </c>
      <c r="F269" s="118">
        <v>2712</v>
      </c>
      <c r="G269" s="83"/>
      <c r="H269" s="84"/>
      <c r="I269" s="84"/>
    </row>
    <row r="270" spans="1:9" customFormat="1" hidden="1" outlineLevel="1" x14ac:dyDescent="0.25">
      <c r="A270" s="144" t="s">
        <v>1337</v>
      </c>
      <c r="B270" s="70" t="s">
        <v>690</v>
      </c>
      <c r="C270" s="141" t="s">
        <v>487</v>
      </c>
      <c r="D270" s="118">
        <f t="shared" si="8"/>
        <v>361.67</v>
      </c>
      <c r="E270" s="118">
        <f t="shared" ref="E270:E333" si="9">ROUND(F270*$E$7/$F$7,2)</f>
        <v>72.33</v>
      </c>
      <c r="F270" s="118">
        <v>434</v>
      </c>
      <c r="G270" s="83"/>
      <c r="H270" s="84"/>
      <c r="I270" s="84"/>
    </row>
    <row r="271" spans="1:9" customFormat="1" hidden="1" outlineLevel="1" x14ac:dyDescent="0.25">
      <c r="A271" s="144" t="s">
        <v>1338</v>
      </c>
      <c r="B271" s="70" t="s">
        <v>691</v>
      </c>
      <c r="C271" s="141" t="s">
        <v>543</v>
      </c>
      <c r="D271" s="118">
        <f t="shared" si="8"/>
        <v>317.5</v>
      </c>
      <c r="E271" s="118">
        <f t="shared" si="9"/>
        <v>63.5</v>
      </c>
      <c r="F271" s="118">
        <v>381</v>
      </c>
      <c r="G271" s="83"/>
      <c r="H271" s="84"/>
      <c r="I271" s="84"/>
    </row>
    <row r="272" spans="1:9" customFormat="1" hidden="1" outlineLevel="1" x14ac:dyDescent="0.25">
      <c r="A272" s="144" t="s">
        <v>1339</v>
      </c>
      <c r="B272" s="70" t="s">
        <v>692</v>
      </c>
      <c r="C272" s="141" t="s">
        <v>543</v>
      </c>
      <c r="D272" s="118">
        <f t="shared" si="8"/>
        <v>488.33</v>
      </c>
      <c r="E272" s="118">
        <f t="shared" si="9"/>
        <v>97.67</v>
      </c>
      <c r="F272" s="118">
        <v>586</v>
      </c>
      <c r="G272" s="83"/>
      <c r="H272" s="84"/>
      <c r="I272" s="84"/>
    </row>
    <row r="273" spans="1:9" customFormat="1" hidden="1" outlineLevel="1" x14ac:dyDescent="0.25">
      <c r="A273" s="144" t="s">
        <v>1340</v>
      </c>
      <c r="B273" s="70" t="s">
        <v>693</v>
      </c>
      <c r="C273" s="141" t="s">
        <v>694</v>
      </c>
      <c r="D273" s="118"/>
      <c r="E273" s="118"/>
      <c r="F273" s="118"/>
      <c r="G273" s="83"/>
      <c r="H273" s="84"/>
      <c r="I273" s="84"/>
    </row>
    <row r="274" spans="1:9" customFormat="1" hidden="1" outlineLevel="2" x14ac:dyDescent="0.25">
      <c r="A274" s="449"/>
      <c r="B274" s="70" t="s">
        <v>695</v>
      </c>
      <c r="C274" s="141"/>
      <c r="D274" s="118">
        <f t="shared" si="8"/>
        <v>97.5</v>
      </c>
      <c r="E274" s="118">
        <f t="shared" si="9"/>
        <v>19.5</v>
      </c>
      <c r="F274" s="118">
        <v>117</v>
      </c>
      <c r="G274" s="83"/>
      <c r="H274" s="84"/>
      <c r="I274" s="84"/>
    </row>
    <row r="275" spans="1:9" customFormat="1" hidden="1" outlineLevel="2" x14ac:dyDescent="0.25">
      <c r="A275" s="449"/>
      <c r="B275" s="70" t="s">
        <v>696</v>
      </c>
      <c r="C275" s="141"/>
      <c r="D275" s="118">
        <f t="shared" si="8"/>
        <v>220</v>
      </c>
      <c r="E275" s="118">
        <f t="shared" si="9"/>
        <v>44</v>
      </c>
      <c r="F275" s="118">
        <v>264</v>
      </c>
      <c r="G275" s="83"/>
      <c r="H275" s="84"/>
      <c r="I275" s="84"/>
    </row>
    <row r="276" spans="1:9" customFormat="1" hidden="1" outlineLevel="2" x14ac:dyDescent="0.25">
      <c r="A276" s="449"/>
      <c r="B276" s="70" t="s">
        <v>697</v>
      </c>
      <c r="C276" s="141"/>
      <c r="D276" s="118">
        <f t="shared" ref="D276:D339" si="10">F276-E276</f>
        <v>439.17</v>
      </c>
      <c r="E276" s="118">
        <f t="shared" si="9"/>
        <v>87.83</v>
      </c>
      <c r="F276" s="118">
        <v>527</v>
      </c>
      <c r="G276" s="83"/>
      <c r="H276" s="84"/>
      <c r="I276" s="84"/>
    </row>
    <row r="277" spans="1:9" customFormat="1" hidden="1" outlineLevel="1" x14ac:dyDescent="0.25">
      <c r="A277" s="144" t="s">
        <v>1341</v>
      </c>
      <c r="B277" s="70" t="s">
        <v>698</v>
      </c>
      <c r="C277" s="141" t="s">
        <v>694</v>
      </c>
      <c r="D277" s="118">
        <f t="shared" si="10"/>
        <v>634.16999999999996</v>
      </c>
      <c r="E277" s="118">
        <f t="shared" si="9"/>
        <v>126.83</v>
      </c>
      <c r="F277" s="118">
        <v>761</v>
      </c>
      <c r="G277" s="83"/>
      <c r="H277" s="84"/>
      <c r="I277" s="84"/>
    </row>
    <row r="278" spans="1:9" customFormat="1" hidden="1" outlineLevel="1" x14ac:dyDescent="0.25">
      <c r="A278" s="144" t="s">
        <v>1342</v>
      </c>
      <c r="B278" s="70" t="s">
        <v>699</v>
      </c>
      <c r="C278" s="141" t="s">
        <v>700</v>
      </c>
      <c r="D278" s="118"/>
      <c r="E278" s="118"/>
      <c r="F278" s="118"/>
      <c r="G278" s="83"/>
      <c r="H278" s="84"/>
      <c r="I278" s="84"/>
    </row>
    <row r="279" spans="1:9" customFormat="1" hidden="1" outlineLevel="2" x14ac:dyDescent="0.25">
      <c r="A279" s="449"/>
      <c r="B279" s="70" t="s">
        <v>701</v>
      </c>
      <c r="C279" s="141"/>
      <c r="D279" s="118">
        <f t="shared" si="10"/>
        <v>1464.17</v>
      </c>
      <c r="E279" s="118">
        <f t="shared" si="9"/>
        <v>292.83</v>
      </c>
      <c r="F279" s="118">
        <v>1757</v>
      </c>
      <c r="G279" s="83"/>
      <c r="H279" s="84"/>
      <c r="I279" s="84"/>
    </row>
    <row r="280" spans="1:9" customFormat="1" hidden="1" outlineLevel="2" x14ac:dyDescent="0.25">
      <c r="A280" s="449"/>
      <c r="B280" s="70" t="s">
        <v>702</v>
      </c>
      <c r="C280" s="141"/>
      <c r="D280" s="118">
        <f t="shared" si="10"/>
        <v>2196.67</v>
      </c>
      <c r="E280" s="118">
        <f t="shared" si="9"/>
        <v>439.33</v>
      </c>
      <c r="F280" s="118">
        <v>2636</v>
      </c>
      <c r="G280" s="83"/>
      <c r="H280" s="84"/>
      <c r="I280" s="84"/>
    </row>
    <row r="281" spans="1:9" customFormat="1" hidden="1" outlineLevel="2" x14ac:dyDescent="0.25">
      <c r="A281" s="449"/>
      <c r="B281" s="70" t="s">
        <v>703</v>
      </c>
      <c r="C281" s="141"/>
      <c r="D281" s="118">
        <f t="shared" si="10"/>
        <v>2806.67</v>
      </c>
      <c r="E281" s="118">
        <f t="shared" si="9"/>
        <v>561.33000000000004</v>
      </c>
      <c r="F281" s="118">
        <v>3368</v>
      </c>
      <c r="G281" s="83"/>
      <c r="H281" s="84"/>
      <c r="I281" s="84"/>
    </row>
    <row r="282" spans="1:9" customFormat="1" hidden="1" outlineLevel="1" x14ac:dyDescent="0.25">
      <c r="A282" s="144" t="s">
        <v>1343</v>
      </c>
      <c r="B282" s="70" t="s">
        <v>704</v>
      </c>
      <c r="C282" s="141" t="s">
        <v>487</v>
      </c>
      <c r="D282" s="118"/>
      <c r="E282" s="118"/>
      <c r="F282" s="118"/>
      <c r="G282" s="83"/>
      <c r="H282" s="84"/>
      <c r="I282" s="84"/>
    </row>
    <row r="283" spans="1:9" customFormat="1" hidden="1" outlineLevel="2" x14ac:dyDescent="0.25">
      <c r="A283" s="449"/>
      <c r="B283" s="70" t="s">
        <v>984</v>
      </c>
      <c r="C283" s="141"/>
      <c r="D283" s="118">
        <f t="shared" si="10"/>
        <v>249.17000000000002</v>
      </c>
      <c r="E283" s="118">
        <f t="shared" si="9"/>
        <v>49.83</v>
      </c>
      <c r="F283" s="118">
        <v>299</v>
      </c>
      <c r="G283" s="83"/>
      <c r="H283" s="84"/>
      <c r="I283" s="84"/>
    </row>
    <row r="284" spans="1:9" customFormat="1" hidden="1" outlineLevel="2" x14ac:dyDescent="0.25">
      <c r="A284" s="449"/>
      <c r="B284" s="70" t="s">
        <v>985</v>
      </c>
      <c r="C284" s="141"/>
      <c r="D284" s="118">
        <f t="shared" si="10"/>
        <v>483.33</v>
      </c>
      <c r="E284" s="118">
        <f t="shared" si="9"/>
        <v>96.67</v>
      </c>
      <c r="F284" s="118">
        <v>580</v>
      </c>
      <c r="G284" s="83"/>
      <c r="H284" s="84"/>
      <c r="I284" s="84"/>
    </row>
    <row r="285" spans="1:9" customFormat="1" hidden="1" outlineLevel="2" x14ac:dyDescent="0.25">
      <c r="A285" s="449"/>
      <c r="B285" s="70" t="s">
        <v>986</v>
      </c>
      <c r="C285" s="141"/>
      <c r="D285" s="118">
        <f t="shared" si="10"/>
        <v>1446.67</v>
      </c>
      <c r="E285" s="118">
        <f t="shared" si="9"/>
        <v>289.33</v>
      </c>
      <c r="F285" s="118">
        <v>1736</v>
      </c>
      <c r="G285" s="83"/>
      <c r="H285" s="84"/>
      <c r="I285" s="84"/>
    </row>
    <row r="286" spans="1:9" customFormat="1" hidden="1" outlineLevel="1" x14ac:dyDescent="0.25">
      <c r="A286" s="144" t="s">
        <v>1344</v>
      </c>
      <c r="B286" s="70" t="s">
        <v>705</v>
      </c>
      <c r="C286" s="141" t="s">
        <v>487</v>
      </c>
      <c r="D286" s="118">
        <f t="shared" si="10"/>
        <v>1098.33</v>
      </c>
      <c r="E286" s="118">
        <f t="shared" si="9"/>
        <v>219.67</v>
      </c>
      <c r="F286" s="118">
        <v>1318</v>
      </c>
      <c r="G286" s="83"/>
      <c r="H286" s="84"/>
      <c r="I286" s="84"/>
    </row>
    <row r="287" spans="1:9" customFormat="1" hidden="1" outlineLevel="1" x14ac:dyDescent="0.25">
      <c r="A287" s="144" t="s">
        <v>1345</v>
      </c>
      <c r="B287" s="70" t="s">
        <v>706</v>
      </c>
      <c r="C287" s="141" t="s">
        <v>487</v>
      </c>
      <c r="D287" s="118"/>
      <c r="E287" s="118"/>
      <c r="F287" s="118"/>
      <c r="G287" s="83"/>
      <c r="H287" s="84"/>
      <c r="I287" s="84"/>
    </row>
    <row r="288" spans="1:9" customFormat="1" hidden="1" outlineLevel="2" x14ac:dyDescent="0.25">
      <c r="A288" s="445"/>
      <c r="B288" s="70" t="s">
        <v>707</v>
      </c>
      <c r="C288" s="141"/>
      <c r="D288" s="118">
        <f t="shared" si="10"/>
        <v>97.5</v>
      </c>
      <c r="E288" s="118">
        <f t="shared" si="9"/>
        <v>19.5</v>
      </c>
      <c r="F288" s="118">
        <v>117</v>
      </c>
      <c r="G288" s="83"/>
      <c r="H288" s="84"/>
      <c r="I288" s="84"/>
    </row>
    <row r="289" spans="1:9" customFormat="1" hidden="1" outlineLevel="2" x14ac:dyDescent="0.25">
      <c r="A289" s="448"/>
      <c r="B289" s="70" t="s">
        <v>708</v>
      </c>
      <c r="C289" s="141"/>
      <c r="D289" s="118">
        <f t="shared" si="10"/>
        <v>195.82999999999998</v>
      </c>
      <c r="E289" s="118">
        <f t="shared" si="9"/>
        <v>39.17</v>
      </c>
      <c r="F289" s="118">
        <v>235</v>
      </c>
      <c r="G289" s="83"/>
      <c r="H289" s="84"/>
      <c r="I289" s="84"/>
    </row>
    <row r="290" spans="1:9" customFormat="1" hidden="1" outlineLevel="2" x14ac:dyDescent="0.25">
      <c r="A290" s="448"/>
      <c r="B290" s="70" t="s">
        <v>709</v>
      </c>
      <c r="C290" s="141"/>
      <c r="D290" s="118">
        <f t="shared" si="10"/>
        <v>488.33</v>
      </c>
      <c r="E290" s="118">
        <f t="shared" si="9"/>
        <v>97.67</v>
      </c>
      <c r="F290" s="118">
        <v>586</v>
      </c>
      <c r="G290" s="83"/>
      <c r="H290" s="84"/>
      <c r="I290" s="84"/>
    </row>
    <row r="291" spans="1:9" customFormat="1" hidden="1" outlineLevel="2" x14ac:dyDescent="0.25">
      <c r="A291" s="446"/>
      <c r="B291" s="70" t="s">
        <v>710</v>
      </c>
      <c r="C291" s="141"/>
      <c r="D291" s="118">
        <f t="shared" si="10"/>
        <v>1220</v>
      </c>
      <c r="E291" s="118">
        <f t="shared" si="9"/>
        <v>244</v>
      </c>
      <c r="F291" s="118">
        <v>1464</v>
      </c>
      <c r="G291" s="83"/>
      <c r="H291" s="84"/>
      <c r="I291" s="84"/>
    </row>
    <row r="292" spans="1:9" customFormat="1" hidden="1" outlineLevel="1" x14ac:dyDescent="0.25">
      <c r="A292" s="144" t="s">
        <v>1346</v>
      </c>
      <c r="B292" s="70" t="s">
        <v>711</v>
      </c>
      <c r="C292" s="141" t="s">
        <v>487</v>
      </c>
      <c r="D292" s="118"/>
      <c r="E292" s="118"/>
      <c r="F292" s="118"/>
      <c r="G292" s="83"/>
      <c r="H292" s="84"/>
      <c r="I292" s="84"/>
    </row>
    <row r="293" spans="1:9" customFormat="1" hidden="1" outlineLevel="2" x14ac:dyDescent="0.25">
      <c r="A293" s="445"/>
      <c r="B293" s="70" t="s">
        <v>712</v>
      </c>
      <c r="C293" s="141"/>
      <c r="D293" s="118">
        <f t="shared" si="10"/>
        <v>537.5</v>
      </c>
      <c r="E293" s="118">
        <f t="shared" si="9"/>
        <v>107.5</v>
      </c>
      <c r="F293" s="118">
        <v>645</v>
      </c>
      <c r="G293" s="83"/>
      <c r="H293" s="84"/>
      <c r="I293" s="84"/>
    </row>
    <row r="294" spans="1:9" customFormat="1" hidden="1" outlineLevel="2" x14ac:dyDescent="0.25">
      <c r="A294" s="448"/>
      <c r="B294" s="70" t="s">
        <v>713</v>
      </c>
      <c r="C294" s="141"/>
      <c r="D294" s="118">
        <f t="shared" si="10"/>
        <v>731.67</v>
      </c>
      <c r="E294" s="118">
        <f t="shared" si="9"/>
        <v>146.33000000000001</v>
      </c>
      <c r="F294" s="118">
        <v>878</v>
      </c>
      <c r="G294" s="83"/>
      <c r="H294" s="84"/>
      <c r="I294" s="84"/>
    </row>
    <row r="295" spans="1:9" customFormat="1" hidden="1" outlineLevel="2" x14ac:dyDescent="0.25">
      <c r="A295" s="448"/>
      <c r="B295" s="70" t="s">
        <v>714</v>
      </c>
      <c r="C295" s="141"/>
      <c r="D295" s="118">
        <f t="shared" si="10"/>
        <v>731.67</v>
      </c>
      <c r="E295" s="118">
        <f t="shared" si="9"/>
        <v>146.33000000000001</v>
      </c>
      <c r="F295" s="118">
        <v>878</v>
      </c>
      <c r="G295" s="83"/>
      <c r="H295" s="84"/>
      <c r="I295" s="84"/>
    </row>
    <row r="296" spans="1:9" customFormat="1" hidden="1" outlineLevel="2" x14ac:dyDescent="0.25">
      <c r="A296" s="448"/>
      <c r="B296" s="70" t="s">
        <v>715</v>
      </c>
      <c r="C296" s="141"/>
      <c r="D296" s="118">
        <f t="shared" si="10"/>
        <v>1098.33</v>
      </c>
      <c r="E296" s="118">
        <f t="shared" si="9"/>
        <v>219.67</v>
      </c>
      <c r="F296" s="118">
        <v>1318</v>
      </c>
      <c r="G296" s="83"/>
      <c r="H296" s="84"/>
      <c r="I296" s="84"/>
    </row>
    <row r="297" spans="1:9" customFormat="1" hidden="1" outlineLevel="2" x14ac:dyDescent="0.25">
      <c r="A297" s="446"/>
      <c r="B297" s="70" t="s">
        <v>716</v>
      </c>
      <c r="C297" s="141"/>
      <c r="D297" s="118">
        <f t="shared" si="10"/>
        <v>1341.67</v>
      </c>
      <c r="E297" s="118">
        <f t="shared" si="9"/>
        <v>268.33</v>
      </c>
      <c r="F297" s="118">
        <v>1610</v>
      </c>
      <c r="G297" s="83"/>
      <c r="H297" s="84"/>
      <c r="I297" s="84"/>
    </row>
    <row r="298" spans="1:9" customFormat="1" hidden="1" outlineLevel="1" x14ac:dyDescent="0.25">
      <c r="A298" s="144" t="s">
        <v>1347</v>
      </c>
      <c r="B298" s="70" t="s">
        <v>717</v>
      </c>
      <c r="C298" s="141" t="s">
        <v>487</v>
      </c>
      <c r="D298" s="118"/>
      <c r="E298" s="118"/>
      <c r="F298" s="118"/>
      <c r="G298" s="83"/>
      <c r="H298" s="84"/>
      <c r="I298" s="84"/>
    </row>
    <row r="299" spans="1:9" customFormat="1" hidden="1" outlineLevel="2" x14ac:dyDescent="0.25">
      <c r="A299" s="445"/>
      <c r="B299" s="70" t="s">
        <v>718</v>
      </c>
      <c r="C299" s="141"/>
      <c r="D299" s="118">
        <f t="shared" si="10"/>
        <v>1053.33</v>
      </c>
      <c r="E299" s="118">
        <f t="shared" si="9"/>
        <v>210.67</v>
      </c>
      <c r="F299" s="118">
        <v>1264</v>
      </c>
      <c r="G299" s="83"/>
      <c r="H299" s="84"/>
      <c r="I299" s="84"/>
    </row>
    <row r="300" spans="1:9" customFormat="1" hidden="1" outlineLevel="2" x14ac:dyDescent="0.25">
      <c r="A300" s="448"/>
      <c r="B300" s="70" t="s">
        <v>719</v>
      </c>
      <c r="C300" s="141"/>
      <c r="D300" s="118">
        <f t="shared" si="10"/>
        <v>688.33</v>
      </c>
      <c r="E300" s="118">
        <f t="shared" si="9"/>
        <v>137.66999999999999</v>
      </c>
      <c r="F300" s="118">
        <v>826</v>
      </c>
      <c r="G300" s="83"/>
      <c r="H300" s="84"/>
      <c r="I300" s="84"/>
    </row>
    <row r="301" spans="1:9" customFormat="1" hidden="1" outlineLevel="2" x14ac:dyDescent="0.25">
      <c r="A301" s="448"/>
      <c r="B301" s="70" t="s">
        <v>720</v>
      </c>
      <c r="C301" s="141"/>
      <c r="D301" s="118">
        <f t="shared" si="10"/>
        <v>1286.67</v>
      </c>
      <c r="E301" s="118">
        <f t="shared" si="9"/>
        <v>257.33</v>
      </c>
      <c r="F301" s="118">
        <v>1544</v>
      </c>
      <c r="G301" s="83"/>
      <c r="H301" s="84"/>
      <c r="I301" s="84"/>
    </row>
    <row r="302" spans="1:9" customFormat="1" hidden="1" outlineLevel="2" x14ac:dyDescent="0.25">
      <c r="A302" s="448"/>
      <c r="B302" s="70" t="s">
        <v>721</v>
      </c>
      <c r="C302" s="141"/>
      <c r="D302" s="118">
        <f t="shared" si="10"/>
        <v>935.83</v>
      </c>
      <c r="E302" s="118">
        <f t="shared" si="9"/>
        <v>187.17</v>
      </c>
      <c r="F302" s="118">
        <v>1123</v>
      </c>
      <c r="G302" s="83"/>
      <c r="H302" s="84"/>
      <c r="I302" s="84"/>
    </row>
    <row r="303" spans="1:9" customFormat="1" hidden="1" outlineLevel="2" x14ac:dyDescent="0.25">
      <c r="A303" s="448"/>
      <c r="B303" s="70" t="s">
        <v>722</v>
      </c>
      <c r="C303" s="141"/>
      <c r="D303" s="118">
        <f t="shared" si="10"/>
        <v>1053.33</v>
      </c>
      <c r="E303" s="118">
        <f t="shared" si="9"/>
        <v>210.67</v>
      </c>
      <c r="F303" s="118">
        <v>1264</v>
      </c>
      <c r="G303" s="83"/>
      <c r="H303" s="84"/>
      <c r="I303" s="84"/>
    </row>
    <row r="304" spans="1:9" customFormat="1" hidden="1" outlineLevel="2" x14ac:dyDescent="0.25">
      <c r="A304" s="448"/>
      <c r="B304" s="70" t="s">
        <v>723</v>
      </c>
      <c r="C304" s="141"/>
      <c r="D304" s="118">
        <f t="shared" si="10"/>
        <v>1520.83</v>
      </c>
      <c r="E304" s="118">
        <f t="shared" si="9"/>
        <v>304.17</v>
      </c>
      <c r="F304" s="118">
        <v>1825</v>
      </c>
      <c r="G304" s="83"/>
      <c r="H304" s="84"/>
      <c r="I304" s="84"/>
    </row>
    <row r="305" spans="1:9" customFormat="1" hidden="1" outlineLevel="2" x14ac:dyDescent="0.25">
      <c r="A305" s="446"/>
      <c r="B305" s="70" t="s">
        <v>724</v>
      </c>
      <c r="C305" s="141"/>
      <c r="D305" s="118">
        <f t="shared" si="10"/>
        <v>1755</v>
      </c>
      <c r="E305" s="118">
        <f t="shared" si="9"/>
        <v>351</v>
      </c>
      <c r="F305" s="118">
        <v>2106</v>
      </c>
      <c r="G305" s="83"/>
      <c r="H305" s="84"/>
      <c r="I305" s="84"/>
    </row>
    <row r="306" spans="1:9" customFormat="1" hidden="1" outlineLevel="1" x14ac:dyDescent="0.25">
      <c r="A306" s="144" t="s">
        <v>1348</v>
      </c>
      <c r="B306" s="70" t="s">
        <v>725</v>
      </c>
      <c r="C306" s="141" t="s">
        <v>487</v>
      </c>
      <c r="D306" s="118"/>
      <c r="E306" s="118"/>
      <c r="F306" s="118"/>
      <c r="G306" s="83"/>
      <c r="H306" s="84"/>
      <c r="I306" s="84"/>
    </row>
    <row r="307" spans="1:9" customFormat="1" hidden="1" outlineLevel="2" x14ac:dyDescent="0.25">
      <c r="A307" s="445"/>
      <c r="B307" s="70" t="s">
        <v>627</v>
      </c>
      <c r="C307" s="141"/>
      <c r="D307" s="118">
        <f t="shared" si="10"/>
        <v>1053.33</v>
      </c>
      <c r="E307" s="118">
        <f t="shared" si="9"/>
        <v>210.67</v>
      </c>
      <c r="F307" s="118">
        <v>1264</v>
      </c>
      <c r="G307" s="83"/>
      <c r="H307" s="84"/>
      <c r="I307" s="84"/>
    </row>
    <row r="308" spans="1:9" customFormat="1" hidden="1" outlineLevel="2" x14ac:dyDescent="0.25">
      <c r="A308" s="448"/>
      <c r="B308" s="70" t="s">
        <v>726</v>
      </c>
      <c r="C308" s="141"/>
      <c r="D308" s="118">
        <f t="shared" si="10"/>
        <v>1638.33</v>
      </c>
      <c r="E308" s="118">
        <f t="shared" si="9"/>
        <v>327.67</v>
      </c>
      <c r="F308" s="118">
        <v>1966</v>
      </c>
      <c r="G308" s="83"/>
      <c r="H308" s="84"/>
      <c r="I308" s="84"/>
    </row>
    <row r="309" spans="1:9" customFormat="1" hidden="1" outlineLevel="2" x14ac:dyDescent="0.25">
      <c r="A309" s="448"/>
      <c r="B309" s="70" t="s">
        <v>727</v>
      </c>
      <c r="C309" s="141"/>
      <c r="D309" s="118">
        <f t="shared" si="10"/>
        <v>1871.67</v>
      </c>
      <c r="E309" s="118">
        <f t="shared" si="9"/>
        <v>374.33</v>
      </c>
      <c r="F309" s="118">
        <v>2246</v>
      </c>
      <c r="G309" s="83"/>
      <c r="H309" s="84"/>
      <c r="I309" s="84"/>
    </row>
    <row r="310" spans="1:9" customFormat="1" hidden="1" outlineLevel="2" x14ac:dyDescent="0.25">
      <c r="A310" s="448"/>
      <c r="B310" s="70" t="s">
        <v>728</v>
      </c>
      <c r="C310" s="141"/>
      <c r="D310" s="118">
        <f t="shared" si="10"/>
        <v>2574.17</v>
      </c>
      <c r="E310" s="118">
        <f t="shared" si="9"/>
        <v>514.83000000000004</v>
      </c>
      <c r="F310" s="118">
        <v>3089</v>
      </c>
      <c r="G310" s="83"/>
      <c r="H310" s="84"/>
      <c r="I310" s="84"/>
    </row>
    <row r="311" spans="1:9" customFormat="1" hidden="1" outlineLevel="2" x14ac:dyDescent="0.25">
      <c r="A311" s="446"/>
      <c r="B311" s="70" t="s">
        <v>729</v>
      </c>
      <c r="C311" s="141"/>
      <c r="D311" s="118">
        <f t="shared" si="10"/>
        <v>3041.67</v>
      </c>
      <c r="E311" s="118">
        <f t="shared" si="9"/>
        <v>608.33000000000004</v>
      </c>
      <c r="F311" s="118">
        <v>3650</v>
      </c>
      <c r="G311" s="83"/>
      <c r="H311" s="84"/>
      <c r="I311" s="84"/>
    </row>
    <row r="312" spans="1:9" customFormat="1" hidden="1" outlineLevel="1" x14ac:dyDescent="0.25">
      <c r="A312" s="144" t="s">
        <v>1349</v>
      </c>
      <c r="B312" s="70" t="s">
        <v>730</v>
      </c>
      <c r="C312" s="141"/>
      <c r="D312" s="118">
        <f t="shared" si="10"/>
        <v>1053.33</v>
      </c>
      <c r="E312" s="118">
        <f t="shared" si="9"/>
        <v>210.67</v>
      </c>
      <c r="F312" s="118">
        <v>1264</v>
      </c>
      <c r="G312" s="83"/>
      <c r="H312" s="84"/>
      <c r="I312" s="84"/>
    </row>
    <row r="313" spans="1:9" customFormat="1" hidden="1" outlineLevel="1" x14ac:dyDescent="0.25">
      <c r="A313" s="144" t="s">
        <v>1350</v>
      </c>
      <c r="B313" s="70" t="s">
        <v>731</v>
      </c>
      <c r="C313" s="141" t="s">
        <v>487</v>
      </c>
      <c r="D313" s="118"/>
      <c r="E313" s="118"/>
      <c r="F313" s="118"/>
      <c r="G313" s="83"/>
      <c r="H313" s="84"/>
      <c r="I313" s="84"/>
    </row>
    <row r="314" spans="1:9" customFormat="1" hidden="1" outlineLevel="2" x14ac:dyDescent="0.25">
      <c r="A314" s="445"/>
      <c r="B314" s="70" t="s">
        <v>627</v>
      </c>
      <c r="C314" s="141"/>
      <c r="D314" s="118">
        <f t="shared" si="10"/>
        <v>1250</v>
      </c>
      <c r="E314" s="118">
        <f t="shared" si="9"/>
        <v>250</v>
      </c>
      <c r="F314" s="118">
        <v>1500</v>
      </c>
      <c r="G314" s="83"/>
      <c r="H314" s="84"/>
      <c r="I314" s="84"/>
    </row>
    <row r="315" spans="1:9" customFormat="1" hidden="1" outlineLevel="2" x14ac:dyDescent="0.25">
      <c r="A315" s="448"/>
      <c r="B315" s="70" t="s">
        <v>732</v>
      </c>
      <c r="C315" s="141"/>
      <c r="D315" s="118">
        <f t="shared" si="10"/>
        <v>2105.83</v>
      </c>
      <c r="E315" s="118">
        <f t="shared" si="9"/>
        <v>421.17</v>
      </c>
      <c r="F315" s="118">
        <v>2527</v>
      </c>
      <c r="G315" s="83"/>
      <c r="H315" s="84"/>
      <c r="I315" s="84"/>
    </row>
    <row r="316" spans="1:9" customFormat="1" hidden="1" outlineLevel="2" x14ac:dyDescent="0.25">
      <c r="A316" s="448"/>
      <c r="B316" s="70" t="s">
        <v>733</v>
      </c>
      <c r="C316" s="141"/>
      <c r="D316" s="118">
        <f t="shared" si="10"/>
        <v>2270</v>
      </c>
      <c r="E316" s="118">
        <f t="shared" si="9"/>
        <v>454</v>
      </c>
      <c r="F316" s="118">
        <v>2724</v>
      </c>
      <c r="G316" s="83"/>
      <c r="H316" s="84"/>
      <c r="I316" s="84"/>
    </row>
    <row r="317" spans="1:9" customFormat="1" hidden="1" outlineLevel="2" x14ac:dyDescent="0.25">
      <c r="A317" s="448"/>
      <c r="B317" s="70" t="s">
        <v>734</v>
      </c>
      <c r="C317" s="141"/>
      <c r="D317" s="118">
        <f t="shared" si="10"/>
        <v>2574.17</v>
      </c>
      <c r="E317" s="118">
        <f t="shared" si="9"/>
        <v>514.83000000000004</v>
      </c>
      <c r="F317" s="118">
        <v>3089</v>
      </c>
      <c r="G317" s="83"/>
      <c r="H317" s="84"/>
      <c r="I317" s="84"/>
    </row>
    <row r="318" spans="1:9" customFormat="1" hidden="1" outlineLevel="2" x14ac:dyDescent="0.25">
      <c r="A318" s="446"/>
      <c r="B318" s="70" t="s">
        <v>735</v>
      </c>
      <c r="C318" s="141"/>
      <c r="D318" s="118">
        <f t="shared" si="10"/>
        <v>3041.67</v>
      </c>
      <c r="E318" s="118">
        <f t="shared" si="9"/>
        <v>608.33000000000004</v>
      </c>
      <c r="F318" s="118">
        <v>3650</v>
      </c>
      <c r="G318" s="83"/>
      <c r="H318" s="84"/>
      <c r="I318" s="84"/>
    </row>
    <row r="319" spans="1:9" customFormat="1" hidden="1" outlineLevel="1" x14ac:dyDescent="0.25">
      <c r="A319" s="144" t="s">
        <v>1351</v>
      </c>
      <c r="B319" s="70" t="s">
        <v>736</v>
      </c>
      <c r="C319" s="141" t="s">
        <v>487</v>
      </c>
      <c r="D319" s="118"/>
      <c r="E319" s="118"/>
      <c r="F319" s="118"/>
      <c r="G319" s="83"/>
      <c r="H319" s="84"/>
      <c r="I319" s="84"/>
    </row>
    <row r="320" spans="1:9" customFormat="1" hidden="1" outlineLevel="2" x14ac:dyDescent="0.25">
      <c r="A320" s="445"/>
      <c r="B320" s="70" t="s">
        <v>627</v>
      </c>
      <c r="C320" s="141"/>
      <c r="D320" s="118">
        <f t="shared" si="10"/>
        <v>731.67</v>
      </c>
      <c r="E320" s="118">
        <f t="shared" si="9"/>
        <v>146.33000000000001</v>
      </c>
      <c r="F320" s="118">
        <v>878</v>
      </c>
      <c r="G320" s="83"/>
      <c r="H320" s="84"/>
      <c r="I320" s="84"/>
    </row>
    <row r="321" spans="1:9" customFormat="1" hidden="1" outlineLevel="2" x14ac:dyDescent="0.25">
      <c r="A321" s="446"/>
      <c r="B321" s="70" t="s">
        <v>675</v>
      </c>
      <c r="C321" s="141"/>
      <c r="D321" s="118">
        <f t="shared" si="10"/>
        <v>1098.33</v>
      </c>
      <c r="E321" s="118">
        <f t="shared" si="9"/>
        <v>219.67</v>
      </c>
      <c r="F321" s="118">
        <v>1318</v>
      </c>
      <c r="G321" s="83"/>
      <c r="H321" s="84"/>
      <c r="I321" s="84"/>
    </row>
    <row r="322" spans="1:9" customFormat="1" hidden="1" outlineLevel="1" x14ac:dyDescent="0.25">
      <c r="A322" s="144" t="s">
        <v>1352</v>
      </c>
      <c r="B322" s="70" t="s">
        <v>737</v>
      </c>
      <c r="C322" s="141" t="s">
        <v>487</v>
      </c>
      <c r="D322" s="118"/>
      <c r="E322" s="118"/>
      <c r="F322" s="118"/>
      <c r="G322" s="83"/>
      <c r="H322" s="84"/>
      <c r="I322" s="84"/>
    </row>
    <row r="323" spans="1:9" customFormat="1" hidden="1" outlineLevel="2" x14ac:dyDescent="0.25">
      <c r="A323" s="445"/>
      <c r="B323" s="70" t="s">
        <v>627</v>
      </c>
      <c r="C323" s="141"/>
      <c r="D323" s="118">
        <f t="shared" si="10"/>
        <v>731.67</v>
      </c>
      <c r="E323" s="118">
        <f t="shared" si="9"/>
        <v>146.33000000000001</v>
      </c>
      <c r="F323" s="118">
        <v>878</v>
      </c>
      <c r="G323" s="83"/>
      <c r="H323" s="84"/>
      <c r="I323" s="84"/>
    </row>
    <row r="324" spans="1:9" customFormat="1" hidden="1" outlineLevel="2" x14ac:dyDescent="0.25">
      <c r="A324" s="446"/>
      <c r="B324" s="70" t="s">
        <v>675</v>
      </c>
      <c r="C324" s="141"/>
      <c r="D324" s="118">
        <f t="shared" si="10"/>
        <v>1098.33</v>
      </c>
      <c r="E324" s="118">
        <f t="shared" si="9"/>
        <v>219.67</v>
      </c>
      <c r="F324" s="118">
        <v>1318</v>
      </c>
      <c r="G324" s="83"/>
      <c r="H324" s="84"/>
      <c r="I324" s="84"/>
    </row>
    <row r="325" spans="1:9" customFormat="1" hidden="1" outlineLevel="1" x14ac:dyDescent="0.25">
      <c r="A325" s="144" t="s">
        <v>1353</v>
      </c>
      <c r="B325" s="70" t="s">
        <v>738</v>
      </c>
      <c r="C325" s="141" t="s">
        <v>487</v>
      </c>
      <c r="D325" s="118">
        <f t="shared" si="10"/>
        <v>1070.83</v>
      </c>
      <c r="E325" s="118">
        <f t="shared" si="9"/>
        <v>214.17</v>
      </c>
      <c r="F325" s="118">
        <v>1285</v>
      </c>
      <c r="G325" s="83"/>
      <c r="H325" s="84"/>
      <c r="I325" s="84"/>
    </row>
    <row r="326" spans="1:9" customFormat="1" hidden="1" outlineLevel="2" x14ac:dyDescent="0.25">
      <c r="A326" s="445"/>
      <c r="B326" s="70" t="s">
        <v>739</v>
      </c>
      <c r="C326" s="141"/>
      <c r="D326" s="118">
        <f t="shared" si="10"/>
        <v>1220</v>
      </c>
      <c r="E326" s="118">
        <f t="shared" si="9"/>
        <v>244</v>
      </c>
      <c r="F326" s="118">
        <v>1464</v>
      </c>
      <c r="G326" s="83"/>
      <c r="H326" s="84"/>
      <c r="I326" s="84"/>
    </row>
    <row r="327" spans="1:9" customFormat="1" hidden="1" outlineLevel="2" x14ac:dyDescent="0.25">
      <c r="A327" s="446"/>
      <c r="B327" s="70" t="s">
        <v>740</v>
      </c>
      <c r="C327" s="141"/>
      <c r="D327" s="118">
        <f t="shared" si="10"/>
        <v>1341.67</v>
      </c>
      <c r="E327" s="118">
        <f t="shared" si="9"/>
        <v>268.33</v>
      </c>
      <c r="F327" s="118">
        <v>1610</v>
      </c>
      <c r="G327" s="83"/>
      <c r="H327" s="84"/>
      <c r="I327" s="84"/>
    </row>
    <row r="328" spans="1:9" customFormat="1" hidden="1" outlineLevel="1" x14ac:dyDescent="0.25">
      <c r="A328" s="144" t="s">
        <v>1354</v>
      </c>
      <c r="B328" s="70" t="s">
        <v>741</v>
      </c>
      <c r="C328" s="141" t="s">
        <v>487</v>
      </c>
      <c r="D328" s="118"/>
      <c r="E328" s="118"/>
      <c r="F328" s="118"/>
      <c r="G328" s="83"/>
      <c r="H328" s="84"/>
      <c r="I328" s="84"/>
    </row>
    <row r="329" spans="1:9" customFormat="1" hidden="1" outlineLevel="2" x14ac:dyDescent="0.25">
      <c r="A329" s="445"/>
      <c r="B329" s="70" t="s">
        <v>627</v>
      </c>
      <c r="C329" s="141"/>
      <c r="D329" s="118">
        <f t="shared" si="10"/>
        <v>854.17</v>
      </c>
      <c r="E329" s="118">
        <f t="shared" si="9"/>
        <v>170.83</v>
      </c>
      <c r="F329" s="118">
        <v>1025</v>
      </c>
      <c r="G329" s="83"/>
      <c r="H329" s="84"/>
      <c r="I329" s="84"/>
    </row>
    <row r="330" spans="1:9" customFormat="1" hidden="1" outlineLevel="2" x14ac:dyDescent="0.25">
      <c r="A330" s="446"/>
      <c r="B330" s="70" t="s">
        <v>675</v>
      </c>
      <c r="C330" s="141"/>
      <c r="D330" s="118">
        <f t="shared" si="10"/>
        <v>1220</v>
      </c>
      <c r="E330" s="118">
        <f t="shared" si="9"/>
        <v>244</v>
      </c>
      <c r="F330" s="118">
        <v>1464</v>
      </c>
      <c r="G330" s="83"/>
      <c r="H330" s="84"/>
      <c r="I330" s="84"/>
    </row>
    <row r="331" spans="1:9" customFormat="1" hidden="1" outlineLevel="1" x14ac:dyDescent="0.25">
      <c r="A331" s="144" t="s">
        <v>1457</v>
      </c>
      <c r="B331" s="70" t="s">
        <v>742</v>
      </c>
      <c r="C331" s="141" t="s">
        <v>487</v>
      </c>
      <c r="D331" s="118"/>
      <c r="E331" s="118"/>
      <c r="F331" s="118"/>
      <c r="G331" s="83"/>
      <c r="H331" s="84"/>
      <c r="I331" s="84"/>
    </row>
    <row r="332" spans="1:9" customFormat="1" hidden="1" outlineLevel="2" x14ac:dyDescent="0.25">
      <c r="A332" s="445"/>
      <c r="B332" s="70" t="s">
        <v>743</v>
      </c>
      <c r="C332" s="141"/>
      <c r="D332" s="118">
        <f t="shared" si="10"/>
        <v>610</v>
      </c>
      <c r="E332" s="118">
        <f t="shared" si="9"/>
        <v>122</v>
      </c>
      <c r="F332" s="118">
        <v>732</v>
      </c>
      <c r="G332" s="83"/>
      <c r="H332" s="84"/>
      <c r="I332" s="84"/>
    </row>
    <row r="333" spans="1:9" customFormat="1" hidden="1" outlineLevel="2" x14ac:dyDescent="0.25">
      <c r="A333" s="446"/>
      <c r="B333" s="70" t="s">
        <v>744</v>
      </c>
      <c r="C333" s="141"/>
      <c r="D333" s="118">
        <f t="shared" si="10"/>
        <v>1098.33</v>
      </c>
      <c r="E333" s="118">
        <f t="shared" si="9"/>
        <v>219.67</v>
      </c>
      <c r="F333" s="118">
        <v>1318</v>
      </c>
      <c r="G333" s="83"/>
      <c r="H333" s="84"/>
      <c r="I333" s="84"/>
    </row>
    <row r="334" spans="1:9" customFormat="1" hidden="1" outlineLevel="1" x14ac:dyDescent="0.25">
      <c r="A334" s="144" t="s">
        <v>1355</v>
      </c>
      <c r="B334" s="70" t="s">
        <v>745</v>
      </c>
      <c r="C334" s="141" t="s">
        <v>487</v>
      </c>
      <c r="D334" s="118">
        <f t="shared" si="10"/>
        <v>244.17000000000002</v>
      </c>
      <c r="E334" s="118">
        <f t="shared" ref="E334:E397" si="11">ROUND(F334*$E$7/$F$7,2)</f>
        <v>48.83</v>
      </c>
      <c r="F334" s="118">
        <v>293</v>
      </c>
      <c r="G334" s="83"/>
      <c r="H334" s="84"/>
      <c r="I334" s="84"/>
    </row>
    <row r="335" spans="1:9" customFormat="1" hidden="1" outlineLevel="1" x14ac:dyDescent="0.25">
      <c r="A335" s="144" t="s">
        <v>1356</v>
      </c>
      <c r="B335" s="70" t="s">
        <v>746</v>
      </c>
      <c r="C335" s="141" t="s">
        <v>487</v>
      </c>
      <c r="D335" s="118"/>
      <c r="E335" s="118"/>
      <c r="F335" s="118"/>
      <c r="G335" s="83"/>
      <c r="H335" s="84"/>
      <c r="I335" s="84"/>
    </row>
    <row r="336" spans="1:9" customFormat="1" hidden="1" outlineLevel="2" x14ac:dyDescent="0.25">
      <c r="A336" s="445"/>
      <c r="B336" s="70" t="s">
        <v>980</v>
      </c>
      <c r="C336" s="141"/>
      <c r="D336" s="118">
        <f t="shared" si="10"/>
        <v>854.17</v>
      </c>
      <c r="E336" s="118">
        <f t="shared" si="11"/>
        <v>170.83</v>
      </c>
      <c r="F336" s="118">
        <v>1025</v>
      </c>
      <c r="G336" s="83"/>
      <c r="H336" s="84"/>
      <c r="I336" s="84"/>
    </row>
    <row r="337" spans="1:11" customFormat="1" hidden="1" outlineLevel="2" x14ac:dyDescent="0.25">
      <c r="A337" s="448"/>
      <c r="B337" s="70" t="s">
        <v>981</v>
      </c>
      <c r="C337" s="141"/>
      <c r="D337" s="118">
        <f t="shared" si="10"/>
        <v>975.83</v>
      </c>
      <c r="E337" s="118">
        <f t="shared" si="11"/>
        <v>195.17</v>
      </c>
      <c r="F337" s="118">
        <v>1171</v>
      </c>
      <c r="G337" s="83"/>
      <c r="H337" s="84"/>
      <c r="I337" s="84"/>
    </row>
    <row r="338" spans="1:11" customFormat="1" hidden="1" outlineLevel="2" x14ac:dyDescent="0.25">
      <c r="A338" s="448"/>
      <c r="B338" s="70" t="s">
        <v>982</v>
      </c>
      <c r="C338" s="141"/>
      <c r="D338" s="118">
        <f t="shared" si="10"/>
        <v>1220</v>
      </c>
      <c r="E338" s="118">
        <f t="shared" si="11"/>
        <v>244</v>
      </c>
      <c r="F338" s="118">
        <v>1464</v>
      </c>
      <c r="G338" s="83"/>
      <c r="H338" s="84"/>
      <c r="I338" s="84"/>
    </row>
    <row r="339" spans="1:11" customFormat="1" hidden="1" outlineLevel="2" x14ac:dyDescent="0.25">
      <c r="A339" s="448"/>
      <c r="B339" s="70" t="s">
        <v>979</v>
      </c>
      <c r="C339" s="141"/>
      <c r="D339" s="118">
        <f t="shared" si="10"/>
        <v>1464.17</v>
      </c>
      <c r="E339" s="118">
        <f t="shared" si="11"/>
        <v>292.83</v>
      </c>
      <c r="F339" s="118">
        <v>1757</v>
      </c>
      <c r="G339" s="83"/>
      <c r="H339" s="84"/>
      <c r="I339" s="84"/>
    </row>
    <row r="340" spans="1:11" customFormat="1" hidden="1" outlineLevel="2" x14ac:dyDescent="0.25">
      <c r="A340" s="446"/>
      <c r="B340" s="70" t="s">
        <v>983</v>
      </c>
      <c r="C340" s="141"/>
      <c r="D340" s="118">
        <f t="shared" ref="D340:D351" si="12">F340-E340</f>
        <v>1830.83</v>
      </c>
      <c r="E340" s="118">
        <f t="shared" si="11"/>
        <v>366.17</v>
      </c>
      <c r="F340" s="118">
        <v>2197</v>
      </c>
      <c r="G340" s="83"/>
      <c r="H340" s="84"/>
      <c r="I340" s="84"/>
    </row>
    <row r="341" spans="1:11" customFormat="1" ht="31.5" hidden="1" outlineLevel="1" x14ac:dyDescent="0.25">
      <c r="A341" s="144" t="s">
        <v>1357</v>
      </c>
      <c r="B341" s="70" t="s">
        <v>747</v>
      </c>
      <c r="C341" s="141" t="s">
        <v>487</v>
      </c>
      <c r="D341" s="118"/>
      <c r="E341" s="118"/>
      <c r="F341" s="118"/>
      <c r="G341" s="83"/>
      <c r="H341" s="84"/>
      <c r="I341" s="84"/>
    </row>
    <row r="342" spans="1:11" customFormat="1" hidden="1" outlineLevel="2" x14ac:dyDescent="0.25">
      <c r="A342" s="445"/>
      <c r="B342" s="70" t="s">
        <v>627</v>
      </c>
      <c r="C342" s="141"/>
      <c r="D342" s="118">
        <f t="shared" si="12"/>
        <v>2075</v>
      </c>
      <c r="E342" s="118">
        <f t="shared" si="11"/>
        <v>415</v>
      </c>
      <c r="F342" s="118">
        <v>2490</v>
      </c>
      <c r="G342" s="83"/>
      <c r="H342" s="84"/>
      <c r="I342" s="84"/>
    </row>
    <row r="343" spans="1:11" customFormat="1" hidden="1" outlineLevel="2" x14ac:dyDescent="0.25">
      <c r="A343" s="446"/>
      <c r="B343" s="70" t="s">
        <v>748</v>
      </c>
      <c r="C343" s="141"/>
      <c r="D343" s="118">
        <f t="shared" si="12"/>
        <v>2075</v>
      </c>
      <c r="E343" s="118">
        <f t="shared" si="11"/>
        <v>415</v>
      </c>
      <c r="F343" s="118">
        <v>2490</v>
      </c>
      <c r="G343" s="83"/>
      <c r="H343" s="84"/>
      <c r="I343" s="84"/>
    </row>
    <row r="344" spans="1:11" customFormat="1" hidden="1" outlineLevel="1" x14ac:dyDescent="0.25">
      <c r="A344" s="144" t="s">
        <v>1358</v>
      </c>
      <c r="B344" s="70" t="s">
        <v>749</v>
      </c>
      <c r="C344" s="141" t="s">
        <v>487</v>
      </c>
      <c r="D344" s="118"/>
      <c r="E344" s="118"/>
      <c r="F344" s="118"/>
      <c r="G344" s="83"/>
      <c r="H344" s="84"/>
      <c r="I344" s="84"/>
    </row>
    <row r="345" spans="1:11" customFormat="1" hidden="1" outlineLevel="2" x14ac:dyDescent="0.25">
      <c r="A345" s="445"/>
      <c r="B345" s="70" t="s">
        <v>750</v>
      </c>
      <c r="C345" s="141"/>
      <c r="D345" s="118">
        <f t="shared" si="12"/>
        <v>3172.5</v>
      </c>
      <c r="E345" s="118">
        <f t="shared" si="11"/>
        <v>634.5</v>
      </c>
      <c r="F345" s="118">
        <v>3807</v>
      </c>
      <c r="G345" s="83"/>
      <c r="H345" s="84"/>
      <c r="I345" s="84"/>
    </row>
    <row r="346" spans="1:11" customFormat="1" hidden="1" outlineLevel="2" x14ac:dyDescent="0.25">
      <c r="A346" s="446"/>
      <c r="B346" s="70" t="s">
        <v>751</v>
      </c>
      <c r="C346" s="141"/>
      <c r="D346" s="118">
        <f t="shared" si="12"/>
        <v>3416.67</v>
      </c>
      <c r="E346" s="118">
        <f t="shared" si="11"/>
        <v>683.33</v>
      </c>
      <c r="F346" s="118">
        <v>4100</v>
      </c>
      <c r="G346" s="83"/>
      <c r="H346" s="84"/>
      <c r="I346" s="84"/>
    </row>
    <row r="347" spans="1:11" customFormat="1" hidden="1" outlineLevel="1" x14ac:dyDescent="0.25">
      <c r="A347" s="144" t="s">
        <v>1359</v>
      </c>
      <c r="B347" s="70" t="s">
        <v>752</v>
      </c>
      <c r="C347" s="141" t="s">
        <v>700</v>
      </c>
      <c r="D347" s="118"/>
      <c r="E347" s="118"/>
      <c r="F347" s="118"/>
      <c r="G347" s="83"/>
      <c r="H347" s="84"/>
      <c r="I347" s="84"/>
    </row>
    <row r="348" spans="1:11" customFormat="1" hidden="1" outlineLevel="2" x14ac:dyDescent="0.25">
      <c r="A348" s="445"/>
      <c r="B348" s="70" t="s">
        <v>644</v>
      </c>
      <c r="C348" s="141"/>
      <c r="D348" s="118">
        <f t="shared" si="12"/>
        <v>2929.17</v>
      </c>
      <c r="E348" s="118">
        <f t="shared" si="11"/>
        <v>585.83000000000004</v>
      </c>
      <c r="F348" s="118">
        <v>3515</v>
      </c>
      <c r="G348" s="83"/>
      <c r="H348" s="84"/>
      <c r="I348" s="84"/>
    </row>
    <row r="349" spans="1:11" customFormat="1" hidden="1" outlineLevel="2" x14ac:dyDescent="0.25">
      <c r="A349" s="446"/>
      <c r="B349" s="70" t="s">
        <v>645</v>
      </c>
      <c r="C349" s="141"/>
      <c r="D349" s="118">
        <f t="shared" si="12"/>
        <v>3172.5</v>
      </c>
      <c r="E349" s="118">
        <f t="shared" si="11"/>
        <v>634.5</v>
      </c>
      <c r="F349" s="118">
        <v>3807</v>
      </c>
      <c r="G349" s="83"/>
      <c r="H349" s="84"/>
      <c r="I349" s="84"/>
    </row>
    <row r="350" spans="1:11" customFormat="1" hidden="1" outlineLevel="1" x14ac:dyDescent="0.25">
      <c r="A350" s="144" t="s">
        <v>1360</v>
      </c>
      <c r="B350" s="70" t="s">
        <v>753</v>
      </c>
      <c r="C350" s="87" t="s">
        <v>487</v>
      </c>
      <c r="D350" s="118">
        <f t="shared" si="12"/>
        <v>1173.33</v>
      </c>
      <c r="E350" s="118">
        <f t="shared" si="11"/>
        <v>234.67</v>
      </c>
      <c r="F350" s="118">
        <v>1408</v>
      </c>
      <c r="G350" s="83"/>
      <c r="H350" s="84"/>
      <c r="I350" s="84"/>
    </row>
    <row r="351" spans="1:11" customFormat="1" hidden="1" outlineLevel="1" x14ac:dyDescent="0.25">
      <c r="A351" s="144" t="s">
        <v>1361</v>
      </c>
      <c r="B351" s="70" t="s">
        <v>754</v>
      </c>
      <c r="C351" s="141" t="s">
        <v>543</v>
      </c>
      <c r="D351" s="118">
        <f t="shared" si="12"/>
        <v>488.33</v>
      </c>
      <c r="E351" s="118">
        <f t="shared" si="11"/>
        <v>97.67</v>
      </c>
      <c r="F351" s="118">
        <v>586</v>
      </c>
      <c r="G351" s="83"/>
      <c r="H351" s="84"/>
      <c r="I351" s="84"/>
    </row>
    <row r="352" spans="1:11" customFormat="1" ht="18.75" hidden="1" x14ac:dyDescent="0.25">
      <c r="A352" s="392" t="s">
        <v>1362</v>
      </c>
      <c r="B352" s="393"/>
      <c r="C352" s="393"/>
      <c r="D352" s="393"/>
      <c r="E352" s="393"/>
      <c r="F352" s="394"/>
      <c r="G352" s="83"/>
      <c r="H352" s="84"/>
      <c r="I352" s="83"/>
      <c r="J352" s="84"/>
      <c r="K352" s="84"/>
    </row>
    <row r="353" spans="1:9" customFormat="1" hidden="1" outlineLevel="1" x14ac:dyDescent="0.25">
      <c r="A353" s="144" t="s">
        <v>1363</v>
      </c>
      <c r="B353" s="70" t="s">
        <v>755</v>
      </c>
      <c r="C353" s="141" t="s">
        <v>756</v>
      </c>
      <c r="D353" s="118">
        <f t="shared" ref="D353:D405" si="13">F353-E353</f>
        <v>48.33</v>
      </c>
      <c r="E353" s="118">
        <f t="shared" si="11"/>
        <v>9.67</v>
      </c>
      <c r="F353" s="118">
        <v>58</v>
      </c>
      <c r="G353" s="83"/>
      <c r="H353" s="84"/>
      <c r="I353" s="84"/>
    </row>
    <row r="354" spans="1:9" customFormat="1" hidden="1" outlineLevel="1" x14ac:dyDescent="0.25">
      <c r="A354" s="144" t="s">
        <v>1364</v>
      </c>
      <c r="B354" s="70" t="s">
        <v>757</v>
      </c>
      <c r="C354" s="141" t="s">
        <v>756</v>
      </c>
      <c r="D354" s="118">
        <f t="shared" si="13"/>
        <v>73.33</v>
      </c>
      <c r="E354" s="118">
        <f t="shared" si="11"/>
        <v>14.67</v>
      </c>
      <c r="F354" s="118">
        <v>88</v>
      </c>
      <c r="G354" s="83"/>
      <c r="H354" s="84"/>
      <c r="I354" s="84"/>
    </row>
    <row r="355" spans="1:9" customFormat="1" hidden="1" outlineLevel="1" x14ac:dyDescent="0.25">
      <c r="A355" s="144" t="s">
        <v>1365</v>
      </c>
      <c r="B355" s="70" t="s">
        <v>758</v>
      </c>
      <c r="C355" s="141" t="s">
        <v>756</v>
      </c>
      <c r="D355" s="118">
        <f t="shared" si="13"/>
        <v>73.33</v>
      </c>
      <c r="E355" s="118">
        <f t="shared" si="11"/>
        <v>14.67</v>
      </c>
      <c r="F355" s="118">
        <v>88</v>
      </c>
      <c r="G355" s="83"/>
      <c r="H355" s="84"/>
      <c r="I355" s="84"/>
    </row>
    <row r="356" spans="1:9" customFormat="1" hidden="1" outlineLevel="1" x14ac:dyDescent="0.25">
      <c r="A356" s="144" t="s">
        <v>1366</v>
      </c>
      <c r="B356" s="70" t="s">
        <v>759</v>
      </c>
      <c r="C356" s="141"/>
      <c r="D356" s="118"/>
      <c r="E356" s="118"/>
      <c r="F356" s="118"/>
      <c r="G356" s="83"/>
      <c r="H356" s="84"/>
      <c r="I356" s="84"/>
    </row>
    <row r="357" spans="1:9" customFormat="1" hidden="1" outlineLevel="2" x14ac:dyDescent="0.25">
      <c r="A357" s="445"/>
      <c r="B357" s="70" t="s">
        <v>760</v>
      </c>
      <c r="C357" s="141" t="s">
        <v>543</v>
      </c>
      <c r="D357" s="118">
        <f t="shared" si="13"/>
        <v>406.67</v>
      </c>
      <c r="E357" s="118">
        <f t="shared" si="11"/>
        <v>81.33</v>
      </c>
      <c r="F357" s="118">
        <v>488</v>
      </c>
      <c r="G357" s="83"/>
      <c r="H357" s="84"/>
      <c r="I357" s="84"/>
    </row>
    <row r="358" spans="1:9" customFormat="1" hidden="1" outlineLevel="2" x14ac:dyDescent="0.25">
      <c r="A358" s="448"/>
      <c r="B358" s="70" t="s">
        <v>761</v>
      </c>
      <c r="C358" s="141" t="s">
        <v>543</v>
      </c>
      <c r="D358" s="118">
        <f t="shared" si="13"/>
        <v>723.33</v>
      </c>
      <c r="E358" s="118">
        <f t="shared" si="11"/>
        <v>144.66999999999999</v>
      </c>
      <c r="F358" s="118">
        <v>868</v>
      </c>
      <c r="G358" s="83"/>
      <c r="H358" s="84"/>
      <c r="I358" s="84"/>
    </row>
    <row r="359" spans="1:9" customFormat="1" hidden="1" outlineLevel="2" x14ac:dyDescent="0.25">
      <c r="A359" s="446"/>
      <c r="B359" s="70" t="s">
        <v>762</v>
      </c>
      <c r="C359" s="141" t="s">
        <v>543</v>
      </c>
      <c r="D359" s="118">
        <f t="shared" si="13"/>
        <v>316.67</v>
      </c>
      <c r="E359" s="118">
        <f t="shared" si="11"/>
        <v>63.33</v>
      </c>
      <c r="F359" s="118">
        <v>380</v>
      </c>
      <c r="G359" s="83"/>
      <c r="H359" s="84"/>
      <c r="I359" s="84"/>
    </row>
    <row r="360" spans="1:9" customFormat="1" hidden="1" outlineLevel="1" x14ac:dyDescent="0.25">
      <c r="A360" s="144" t="s">
        <v>1367</v>
      </c>
      <c r="B360" s="70" t="s">
        <v>763</v>
      </c>
      <c r="C360" s="141" t="s">
        <v>549</v>
      </c>
      <c r="D360" s="118">
        <f t="shared" si="13"/>
        <v>97.5</v>
      </c>
      <c r="E360" s="118">
        <f t="shared" si="11"/>
        <v>19.5</v>
      </c>
      <c r="F360" s="118">
        <v>117</v>
      </c>
      <c r="G360" s="83"/>
      <c r="H360" s="84"/>
      <c r="I360" s="84"/>
    </row>
    <row r="361" spans="1:9" customFormat="1" hidden="1" outlineLevel="1" x14ac:dyDescent="0.25">
      <c r="A361" s="144" t="s">
        <v>1368</v>
      </c>
      <c r="B361" s="70" t="s">
        <v>764</v>
      </c>
      <c r="C361" s="141" t="s">
        <v>6</v>
      </c>
      <c r="D361" s="118">
        <f t="shared" si="13"/>
        <v>170.82999999999998</v>
      </c>
      <c r="E361" s="118">
        <f t="shared" si="11"/>
        <v>34.17</v>
      </c>
      <c r="F361" s="118">
        <v>205</v>
      </c>
      <c r="G361" s="83"/>
      <c r="H361" s="84"/>
      <c r="I361" s="84"/>
    </row>
    <row r="362" spans="1:9" customFormat="1" hidden="1" outlineLevel="1" x14ac:dyDescent="0.25">
      <c r="A362" s="144" t="s">
        <v>1369</v>
      </c>
      <c r="B362" s="70" t="s">
        <v>765</v>
      </c>
      <c r="C362" s="141" t="s">
        <v>766</v>
      </c>
      <c r="D362" s="118">
        <f t="shared" si="13"/>
        <v>731.67</v>
      </c>
      <c r="E362" s="118">
        <f t="shared" si="11"/>
        <v>146.33000000000001</v>
      </c>
      <c r="F362" s="118">
        <v>878</v>
      </c>
      <c r="G362" s="83"/>
      <c r="H362" s="84"/>
      <c r="I362" s="84"/>
    </row>
    <row r="363" spans="1:9" customFormat="1" hidden="1" outlineLevel="1" x14ac:dyDescent="0.25">
      <c r="A363" s="144" t="s">
        <v>1370</v>
      </c>
      <c r="B363" s="70" t="s">
        <v>767</v>
      </c>
      <c r="C363" s="141" t="s">
        <v>766</v>
      </c>
      <c r="D363" s="118">
        <f t="shared" si="13"/>
        <v>488.33</v>
      </c>
      <c r="E363" s="118">
        <f t="shared" si="11"/>
        <v>97.67</v>
      </c>
      <c r="F363" s="118">
        <v>586</v>
      </c>
      <c r="G363" s="83"/>
      <c r="H363" s="84"/>
      <c r="I363" s="84"/>
    </row>
    <row r="364" spans="1:9" customFormat="1" ht="47.25" hidden="1" outlineLevel="1" x14ac:dyDescent="0.25">
      <c r="A364" s="144" t="s">
        <v>1371</v>
      </c>
      <c r="B364" s="70" t="s">
        <v>768</v>
      </c>
      <c r="C364" s="141" t="s">
        <v>766</v>
      </c>
      <c r="D364" s="118"/>
      <c r="E364" s="118"/>
      <c r="F364" s="118"/>
      <c r="G364" s="83"/>
      <c r="H364" s="84"/>
      <c r="I364" s="84"/>
    </row>
    <row r="365" spans="1:9" customFormat="1" hidden="1" outlineLevel="2" x14ac:dyDescent="0.25">
      <c r="A365" s="445"/>
      <c r="B365" s="70" t="s">
        <v>769</v>
      </c>
      <c r="C365" s="141"/>
      <c r="D365" s="118">
        <f t="shared" si="13"/>
        <v>145.82999999999998</v>
      </c>
      <c r="E365" s="118">
        <f t="shared" si="11"/>
        <v>29.17</v>
      </c>
      <c r="F365" s="118">
        <v>175</v>
      </c>
      <c r="G365" s="83"/>
      <c r="H365" s="84"/>
      <c r="I365" s="84"/>
    </row>
    <row r="366" spans="1:9" customFormat="1" hidden="1" outlineLevel="2" x14ac:dyDescent="0.25">
      <c r="A366" s="448"/>
      <c r="B366" s="70" t="s">
        <v>770</v>
      </c>
      <c r="C366" s="88"/>
      <c r="D366" s="118">
        <f t="shared" si="13"/>
        <v>365.83</v>
      </c>
      <c r="E366" s="118">
        <f t="shared" si="11"/>
        <v>73.17</v>
      </c>
      <c r="F366" s="118">
        <v>439</v>
      </c>
      <c r="G366" s="83"/>
      <c r="H366" s="84"/>
      <c r="I366" s="84"/>
    </row>
    <row r="367" spans="1:9" customFormat="1" hidden="1" outlineLevel="2" x14ac:dyDescent="0.25">
      <c r="A367" s="448"/>
      <c r="B367" s="70" t="s">
        <v>771</v>
      </c>
      <c r="C367" s="88"/>
      <c r="D367" s="118">
        <f t="shared" si="13"/>
        <v>488.33</v>
      </c>
      <c r="E367" s="118">
        <f t="shared" si="11"/>
        <v>97.67</v>
      </c>
      <c r="F367" s="118">
        <v>586</v>
      </c>
      <c r="G367" s="83"/>
      <c r="H367" s="84"/>
      <c r="I367" s="84"/>
    </row>
    <row r="368" spans="1:9" customFormat="1" hidden="1" outlineLevel="2" x14ac:dyDescent="0.25">
      <c r="A368" s="448"/>
      <c r="B368" s="70" t="s">
        <v>772</v>
      </c>
      <c r="C368" s="88"/>
      <c r="D368" s="118">
        <f t="shared" si="13"/>
        <v>731.67</v>
      </c>
      <c r="E368" s="118">
        <f t="shared" si="11"/>
        <v>146.33000000000001</v>
      </c>
      <c r="F368" s="118">
        <v>878</v>
      </c>
      <c r="G368" s="83"/>
      <c r="H368" s="84"/>
      <c r="I368" s="84"/>
    </row>
    <row r="369" spans="1:9" customFormat="1" hidden="1" outlineLevel="2" x14ac:dyDescent="0.25">
      <c r="A369" s="446"/>
      <c r="B369" s="70" t="s">
        <v>773</v>
      </c>
      <c r="C369" s="88"/>
      <c r="D369" s="118">
        <f t="shared" si="13"/>
        <v>1098.33</v>
      </c>
      <c r="E369" s="118">
        <f t="shared" si="11"/>
        <v>219.67</v>
      </c>
      <c r="F369" s="118">
        <v>1318</v>
      </c>
      <c r="G369" s="83"/>
      <c r="H369" s="84"/>
      <c r="I369" s="84"/>
    </row>
    <row r="370" spans="1:9" customFormat="1" hidden="1" outlineLevel="1" x14ac:dyDescent="0.25">
      <c r="A370" s="144" t="s">
        <v>1372</v>
      </c>
      <c r="B370" s="70" t="s">
        <v>774</v>
      </c>
      <c r="C370" s="141" t="s">
        <v>487</v>
      </c>
      <c r="D370" s="118"/>
      <c r="E370" s="118"/>
      <c r="F370" s="118"/>
      <c r="G370" s="83"/>
      <c r="H370" s="84"/>
      <c r="I370" s="84"/>
    </row>
    <row r="371" spans="1:9" customFormat="1" hidden="1" outlineLevel="2" x14ac:dyDescent="0.25">
      <c r="A371" s="445"/>
      <c r="B371" s="70" t="s">
        <v>775</v>
      </c>
      <c r="C371" s="141"/>
      <c r="D371" s="118">
        <f t="shared" si="13"/>
        <v>121.67</v>
      </c>
      <c r="E371" s="118">
        <f t="shared" si="11"/>
        <v>24.33</v>
      </c>
      <c r="F371" s="118">
        <v>146</v>
      </c>
      <c r="G371" s="83"/>
      <c r="H371" s="84"/>
      <c r="I371" s="84"/>
    </row>
    <row r="372" spans="1:9" customFormat="1" hidden="1" outlineLevel="2" x14ac:dyDescent="0.25">
      <c r="A372" s="448"/>
      <c r="B372" s="70" t="s">
        <v>776</v>
      </c>
      <c r="C372" s="141"/>
      <c r="D372" s="118">
        <f t="shared" si="13"/>
        <v>659.17</v>
      </c>
      <c r="E372" s="118">
        <f t="shared" si="11"/>
        <v>131.83000000000001</v>
      </c>
      <c r="F372" s="118">
        <v>791</v>
      </c>
      <c r="G372" s="83"/>
      <c r="H372" s="84"/>
      <c r="I372" s="84"/>
    </row>
    <row r="373" spans="1:9" customFormat="1" hidden="1" outlineLevel="2" x14ac:dyDescent="0.25">
      <c r="A373" s="448"/>
      <c r="B373" s="70" t="s">
        <v>777</v>
      </c>
      <c r="C373" s="141"/>
      <c r="D373" s="118">
        <f t="shared" si="13"/>
        <v>1098.33</v>
      </c>
      <c r="E373" s="118">
        <f t="shared" si="11"/>
        <v>219.67</v>
      </c>
      <c r="F373" s="118">
        <v>1318</v>
      </c>
      <c r="G373" s="83"/>
      <c r="H373" s="84"/>
      <c r="I373" s="84"/>
    </row>
    <row r="374" spans="1:9" customFormat="1" hidden="1" outlineLevel="2" x14ac:dyDescent="0.25">
      <c r="A374" s="448"/>
      <c r="B374" s="70" t="s">
        <v>778</v>
      </c>
      <c r="C374" s="141"/>
      <c r="D374" s="118">
        <f t="shared" si="13"/>
        <v>1952.5</v>
      </c>
      <c r="E374" s="118">
        <f t="shared" si="11"/>
        <v>390.5</v>
      </c>
      <c r="F374" s="118">
        <v>2343</v>
      </c>
      <c r="G374" s="83"/>
      <c r="H374" s="84"/>
      <c r="I374" s="84"/>
    </row>
    <row r="375" spans="1:9" customFormat="1" hidden="1" outlineLevel="2" x14ac:dyDescent="0.25">
      <c r="A375" s="448"/>
      <c r="B375" s="70" t="s">
        <v>779</v>
      </c>
      <c r="C375" s="141"/>
      <c r="D375" s="118">
        <f t="shared" si="13"/>
        <v>3172.5</v>
      </c>
      <c r="E375" s="118">
        <f t="shared" si="11"/>
        <v>634.5</v>
      </c>
      <c r="F375" s="118">
        <v>3807</v>
      </c>
      <c r="G375" s="83"/>
      <c r="H375" s="84"/>
      <c r="I375" s="84"/>
    </row>
    <row r="376" spans="1:9" customFormat="1" hidden="1" outlineLevel="2" x14ac:dyDescent="0.25">
      <c r="A376" s="446"/>
      <c r="B376" s="70" t="s">
        <v>780</v>
      </c>
      <c r="C376" s="141" t="s">
        <v>781</v>
      </c>
      <c r="D376" s="118">
        <f t="shared" si="13"/>
        <v>121.67</v>
      </c>
      <c r="E376" s="118">
        <f t="shared" si="11"/>
        <v>24.33</v>
      </c>
      <c r="F376" s="118">
        <v>146</v>
      </c>
      <c r="G376" s="83"/>
      <c r="H376" s="84"/>
      <c r="I376" s="84"/>
    </row>
    <row r="377" spans="1:9" customFormat="1" ht="31.5" hidden="1" outlineLevel="1" x14ac:dyDescent="0.25">
      <c r="A377" s="144" t="s">
        <v>1373</v>
      </c>
      <c r="B377" s="70" t="s">
        <v>782</v>
      </c>
      <c r="C377" s="141" t="s">
        <v>543</v>
      </c>
      <c r="D377" s="118">
        <f t="shared" si="13"/>
        <v>121.67</v>
      </c>
      <c r="E377" s="118">
        <f t="shared" si="11"/>
        <v>24.33</v>
      </c>
      <c r="F377" s="118">
        <v>146</v>
      </c>
      <c r="G377" s="83"/>
      <c r="H377" s="84"/>
      <c r="I377" s="84"/>
    </row>
    <row r="378" spans="1:9" customFormat="1" hidden="1" outlineLevel="1" x14ac:dyDescent="0.25">
      <c r="A378" s="144" t="s">
        <v>1374</v>
      </c>
      <c r="B378" s="70" t="s">
        <v>783</v>
      </c>
      <c r="C378" s="141"/>
      <c r="D378" s="118"/>
      <c r="E378" s="118"/>
      <c r="F378" s="118"/>
      <c r="G378" s="83"/>
      <c r="H378" s="84"/>
      <c r="I378" s="84"/>
    </row>
    <row r="379" spans="1:9" customFormat="1" hidden="1" outlineLevel="2" x14ac:dyDescent="0.25">
      <c r="A379" s="445"/>
      <c r="B379" s="70" t="s">
        <v>784</v>
      </c>
      <c r="C379" s="141" t="s">
        <v>785</v>
      </c>
      <c r="D379" s="118">
        <f t="shared" si="13"/>
        <v>30.83</v>
      </c>
      <c r="E379" s="118">
        <f t="shared" si="11"/>
        <v>6.17</v>
      </c>
      <c r="F379" s="118">
        <v>37</v>
      </c>
      <c r="G379" s="83"/>
      <c r="H379" s="84"/>
      <c r="I379" s="84"/>
    </row>
    <row r="380" spans="1:9" customFormat="1" hidden="1" outlineLevel="2" x14ac:dyDescent="0.25">
      <c r="A380" s="448"/>
      <c r="B380" s="70" t="s">
        <v>786</v>
      </c>
      <c r="C380" s="141" t="s">
        <v>787</v>
      </c>
      <c r="D380" s="118">
        <f t="shared" si="13"/>
        <v>1419.17</v>
      </c>
      <c r="E380" s="118">
        <f t="shared" si="11"/>
        <v>283.83</v>
      </c>
      <c r="F380" s="118">
        <v>1703</v>
      </c>
      <c r="G380" s="83"/>
      <c r="H380" s="84"/>
      <c r="I380" s="84"/>
    </row>
    <row r="381" spans="1:9" customFormat="1" hidden="1" outlineLevel="2" x14ac:dyDescent="0.25">
      <c r="A381" s="448"/>
      <c r="B381" s="70" t="s">
        <v>788</v>
      </c>
      <c r="C381" s="141" t="s">
        <v>787</v>
      </c>
      <c r="D381" s="118">
        <f t="shared" si="13"/>
        <v>80.83</v>
      </c>
      <c r="E381" s="118">
        <f t="shared" si="11"/>
        <v>16.170000000000002</v>
      </c>
      <c r="F381" s="118">
        <v>97</v>
      </c>
      <c r="G381" s="83"/>
      <c r="H381" s="84"/>
      <c r="I381" s="84"/>
    </row>
    <row r="382" spans="1:9" customFormat="1" ht="31.5" hidden="1" outlineLevel="2" x14ac:dyDescent="0.25">
      <c r="A382" s="448"/>
      <c r="B382" s="70" t="s">
        <v>789</v>
      </c>
      <c r="C382" s="141" t="s">
        <v>790</v>
      </c>
      <c r="D382" s="118">
        <f t="shared" si="13"/>
        <v>5.83</v>
      </c>
      <c r="E382" s="118">
        <f t="shared" si="11"/>
        <v>1.17</v>
      </c>
      <c r="F382" s="118">
        <v>7</v>
      </c>
      <c r="G382" s="83"/>
      <c r="H382" s="84"/>
      <c r="I382" s="84"/>
    </row>
    <row r="383" spans="1:9" customFormat="1" ht="31.5" hidden="1" outlineLevel="2" x14ac:dyDescent="0.25">
      <c r="A383" s="448"/>
      <c r="B383" s="70" t="s">
        <v>791</v>
      </c>
      <c r="C383" s="141" t="s">
        <v>792</v>
      </c>
      <c r="D383" s="118">
        <f t="shared" si="13"/>
        <v>16632.5</v>
      </c>
      <c r="E383" s="118">
        <f t="shared" si="11"/>
        <v>3326.5</v>
      </c>
      <c r="F383" s="118">
        <v>19959</v>
      </c>
      <c r="G383" s="83"/>
      <c r="H383" s="84"/>
      <c r="I383" s="84"/>
    </row>
    <row r="384" spans="1:9" customFormat="1" ht="31.5" hidden="1" outlineLevel="2" x14ac:dyDescent="0.25">
      <c r="A384" s="446"/>
      <c r="B384" s="70" t="s">
        <v>793</v>
      </c>
      <c r="C384" s="141" t="s">
        <v>794</v>
      </c>
      <c r="D384" s="118">
        <f t="shared" si="13"/>
        <v>311.67</v>
      </c>
      <c r="E384" s="118">
        <f t="shared" si="11"/>
        <v>62.33</v>
      </c>
      <c r="F384" s="118">
        <v>374</v>
      </c>
      <c r="G384" s="83"/>
      <c r="H384" s="84"/>
      <c r="I384" s="84"/>
    </row>
    <row r="385" spans="1:9" customFormat="1" hidden="1" outlineLevel="1" x14ac:dyDescent="0.25">
      <c r="A385" s="144" t="s">
        <v>1375</v>
      </c>
      <c r="B385" s="70" t="s">
        <v>795</v>
      </c>
      <c r="C385" s="87" t="s">
        <v>756</v>
      </c>
      <c r="D385" s="118"/>
      <c r="E385" s="118"/>
      <c r="F385" s="118"/>
      <c r="G385" s="83"/>
      <c r="H385" s="84"/>
      <c r="I385" s="84"/>
    </row>
    <row r="386" spans="1:9" customFormat="1" hidden="1" outlineLevel="2" x14ac:dyDescent="0.25">
      <c r="A386" s="445"/>
      <c r="B386" s="70" t="s">
        <v>796</v>
      </c>
      <c r="C386" s="87" t="s">
        <v>797</v>
      </c>
      <c r="D386" s="118">
        <f t="shared" si="13"/>
        <v>260.83</v>
      </c>
      <c r="E386" s="118">
        <f t="shared" si="11"/>
        <v>52.17</v>
      </c>
      <c r="F386" s="118">
        <v>313</v>
      </c>
      <c r="G386" s="83"/>
      <c r="H386" s="84"/>
      <c r="I386" s="84"/>
    </row>
    <row r="387" spans="1:9" customFormat="1" hidden="1" outlineLevel="2" x14ac:dyDescent="0.25">
      <c r="A387" s="446"/>
      <c r="B387" s="70" t="s">
        <v>798</v>
      </c>
      <c r="C387" s="87" t="s">
        <v>799</v>
      </c>
      <c r="D387" s="118">
        <f t="shared" si="13"/>
        <v>521.66999999999996</v>
      </c>
      <c r="E387" s="118">
        <f t="shared" si="11"/>
        <v>104.33</v>
      </c>
      <c r="F387" s="118">
        <v>626</v>
      </c>
      <c r="G387" s="83"/>
      <c r="H387" s="84"/>
      <c r="I387" s="84"/>
    </row>
    <row r="388" spans="1:9" customFormat="1" hidden="1" outlineLevel="1" x14ac:dyDescent="0.25">
      <c r="A388" s="144" t="s">
        <v>1376</v>
      </c>
      <c r="B388" s="70" t="s">
        <v>800</v>
      </c>
      <c r="C388" s="141" t="s">
        <v>487</v>
      </c>
      <c r="D388" s="118"/>
      <c r="E388" s="118"/>
      <c r="F388" s="118"/>
      <c r="G388" s="83"/>
      <c r="H388" s="84"/>
      <c r="I388" s="84"/>
    </row>
    <row r="389" spans="1:9" customFormat="1" hidden="1" outlineLevel="2" x14ac:dyDescent="0.25">
      <c r="A389" s="445"/>
      <c r="B389" s="70" t="s">
        <v>775</v>
      </c>
      <c r="C389" s="141"/>
      <c r="D389" s="118">
        <f t="shared" si="13"/>
        <v>243.32999999999998</v>
      </c>
      <c r="E389" s="118">
        <f t="shared" si="11"/>
        <v>48.67</v>
      </c>
      <c r="F389" s="118">
        <v>292</v>
      </c>
      <c r="G389" s="83"/>
      <c r="H389" s="84"/>
      <c r="I389" s="84"/>
    </row>
    <row r="390" spans="1:9" customFormat="1" hidden="1" outlineLevel="2" x14ac:dyDescent="0.25">
      <c r="A390" s="448"/>
      <c r="B390" s="70" t="s">
        <v>776</v>
      </c>
      <c r="C390" s="141"/>
      <c r="D390" s="118">
        <f t="shared" si="13"/>
        <v>1317.5</v>
      </c>
      <c r="E390" s="118">
        <f t="shared" si="11"/>
        <v>263.5</v>
      </c>
      <c r="F390" s="118">
        <v>1581</v>
      </c>
      <c r="G390" s="83"/>
      <c r="H390" s="84"/>
      <c r="I390" s="84"/>
    </row>
    <row r="391" spans="1:9" customFormat="1" hidden="1" outlineLevel="2" x14ac:dyDescent="0.25">
      <c r="A391" s="448"/>
      <c r="B391" s="70" t="s">
        <v>777</v>
      </c>
      <c r="C391" s="141"/>
      <c r="D391" s="118">
        <f t="shared" si="13"/>
        <v>2197.5</v>
      </c>
      <c r="E391" s="118">
        <f t="shared" si="11"/>
        <v>439.5</v>
      </c>
      <c r="F391" s="118">
        <v>2637</v>
      </c>
      <c r="G391" s="83"/>
      <c r="H391" s="84"/>
      <c r="I391" s="84"/>
    </row>
    <row r="392" spans="1:9" customFormat="1" hidden="1" outlineLevel="2" x14ac:dyDescent="0.25">
      <c r="A392" s="448"/>
      <c r="B392" s="70" t="s">
        <v>778</v>
      </c>
      <c r="C392" s="141"/>
      <c r="D392" s="118">
        <f t="shared" si="13"/>
        <v>3904.17</v>
      </c>
      <c r="E392" s="118">
        <f t="shared" si="11"/>
        <v>780.83</v>
      </c>
      <c r="F392" s="118">
        <v>4685</v>
      </c>
      <c r="G392" s="83"/>
      <c r="H392" s="84"/>
      <c r="I392" s="84"/>
    </row>
    <row r="393" spans="1:9" customFormat="1" hidden="1" outlineLevel="2" x14ac:dyDescent="0.25">
      <c r="A393" s="446"/>
      <c r="B393" s="70" t="s">
        <v>779</v>
      </c>
      <c r="C393" s="141"/>
      <c r="D393" s="118">
        <f t="shared" si="13"/>
        <v>6345</v>
      </c>
      <c r="E393" s="118">
        <f t="shared" si="11"/>
        <v>1269</v>
      </c>
      <c r="F393" s="118">
        <v>7614</v>
      </c>
      <c r="G393" s="83"/>
      <c r="H393" s="84"/>
      <c r="I393" s="84"/>
    </row>
    <row r="394" spans="1:9" s="84" customFormat="1" hidden="1" outlineLevel="1" x14ac:dyDescent="0.25">
      <c r="A394" s="144" t="s">
        <v>1377</v>
      </c>
      <c r="B394" s="70" t="s">
        <v>801</v>
      </c>
      <c r="C394" s="87"/>
      <c r="D394" s="118"/>
      <c r="E394" s="118"/>
      <c r="F394" s="118"/>
      <c r="G394" s="89"/>
    </row>
    <row r="395" spans="1:9" s="84" customFormat="1" hidden="1" outlineLevel="2" x14ac:dyDescent="0.25">
      <c r="A395" s="445"/>
      <c r="B395" s="70" t="s">
        <v>802</v>
      </c>
      <c r="C395" s="87"/>
      <c r="D395" s="118">
        <f t="shared" si="13"/>
        <v>695</v>
      </c>
      <c r="E395" s="118">
        <f t="shared" si="11"/>
        <v>139</v>
      </c>
      <c r="F395" s="118">
        <v>834</v>
      </c>
      <c r="G395" s="89"/>
    </row>
    <row r="396" spans="1:9" s="84" customFormat="1" hidden="1" outlineLevel="2" x14ac:dyDescent="0.25">
      <c r="A396" s="448"/>
      <c r="B396" s="70" t="s">
        <v>803</v>
      </c>
      <c r="C396" s="87"/>
      <c r="D396" s="118">
        <f t="shared" si="13"/>
        <v>1043.33</v>
      </c>
      <c r="E396" s="118">
        <f t="shared" si="11"/>
        <v>208.67</v>
      </c>
      <c r="F396" s="118">
        <v>1252</v>
      </c>
      <c r="G396" s="89"/>
    </row>
    <row r="397" spans="1:9" s="84" customFormat="1" hidden="1" outlineLevel="2" x14ac:dyDescent="0.25">
      <c r="A397" s="446"/>
      <c r="B397" s="70" t="s">
        <v>804</v>
      </c>
      <c r="C397" s="87"/>
      <c r="D397" s="118">
        <f t="shared" si="13"/>
        <v>1738.33</v>
      </c>
      <c r="E397" s="118">
        <f t="shared" si="11"/>
        <v>347.67</v>
      </c>
      <c r="F397" s="118">
        <v>2086</v>
      </c>
      <c r="G397" s="89"/>
    </row>
    <row r="398" spans="1:9" s="84" customFormat="1" hidden="1" outlineLevel="1" x14ac:dyDescent="0.25">
      <c r="A398" s="144" t="s">
        <v>1378</v>
      </c>
      <c r="B398" s="70" t="s">
        <v>805</v>
      </c>
      <c r="C398" s="87"/>
      <c r="D398" s="118"/>
      <c r="E398" s="118"/>
      <c r="F398" s="118"/>
      <c r="G398" s="89"/>
    </row>
    <row r="399" spans="1:9" s="84" customFormat="1" hidden="1" outlineLevel="2" x14ac:dyDescent="0.25">
      <c r="A399" s="445"/>
      <c r="B399" s="70" t="s">
        <v>806</v>
      </c>
      <c r="C399" s="87" t="s">
        <v>807</v>
      </c>
      <c r="D399" s="118">
        <f t="shared" si="13"/>
        <v>174.17000000000002</v>
      </c>
      <c r="E399" s="118">
        <f t="shared" ref="E399:E477" si="14">ROUND(F399*$E$7/$F$7,2)</f>
        <v>34.83</v>
      </c>
      <c r="F399" s="118">
        <v>209</v>
      </c>
      <c r="G399" s="89"/>
    </row>
    <row r="400" spans="1:9" s="84" customFormat="1" hidden="1" outlineLevel="2" x14ac:dyDescent="0.25">
      <c r="A400" s="446"/>
      <c r="B400" s="70" t="s">
        <v>808</v>
      </c>
      <c r="C400" s="87"/>
      <c r="D400" s="118">
        <f t="shared" si="13"/>
        <v>435</v>
      </c>
      <c r="E400" s="118">
        <f t="shared" si="14"/>
        <v>87</v>
      </c>
      <c r="F400" s="118">
        <v>522</v>
      </c>
      <c r="G400" s="89"/>
    </row>
    <row r="401" spans="1:9" s="84" customFormat="1" hidden="1" outlineLevel="1" x14ac:dyDescent="0.25">
      <c r="A401" s="144" t="s">
        <v>1379</v>
      </c>
      <c r="B401" s="70" t="s">
        <v>809</v>
      </c>
      <c r="C401" s="87" t="s">
        <v>810</v>
      </c>
      <c r="D401" s="118">
        <f t="shared" si="13"/>
        <v>435</v>
      </c>
      <c r="E401" s="118">
        <f t="shared" si="14"/>
        <v>87</v>
      </c>
      <c r="F401" s="118">
        <v>522</v>
      </c>
      <c r="G401" s="89"/>
    </row>
    <row r="402" spans="1:9" s="84" customFormat="1" hidden="1" outlineLevel="1" x14ac:dyDescent="0.25">
      <c r="A402" s="144" t="s">
        <v>1380</v>
      </c>
      <c r="B402" s="70" t="s">
        <v>811</v>
      </c>
      <c r="C402" s="87" t="s">
        <v>487</v>
      </c>
      <c r="D402" s="118">
        <f t="shared" si="13"/>
        <v>113.33</v>
      </c>
      <c r="E402" s="118">
        <f t="shared" si="14"/>
        <v>22.67</v>
      </c>
      <c r="F402" s="118">
        <v>136</v>
      </c>
      <c r="G402" s="89"/>
    </row>
    <row r="403" spans="1:9" s="84" customFormat="1" hidden="1" outlineLevel="1" x14ac:dyDescent="0.25">
      <c r="A403" s="144" t="s">
        <v>1381</v>
      </c>
      <c r="B403" s="70" t="s">
        <v>812</v>
      </c>
      <c r="C403" s="87" t="s">
        <v>543</v>
      </c>
      <c r="D403" s="118">
        <f t="shared" si="13"/>
        <v>130</v>
      </c>
      <c r="E403" s="118">
        <f t="shared" si="14"/>
        <v>26</v>
      </c>
      <c r="F403" s="118">
        <v>156</v>
      </c>
      <c r="G403" s="89"/>
    </row>
    <row r="404" spans="1:9" s="84" customFormat="1" hidden="1" outlineLevel="1" x14ac:dyDescent="0.25">
      <c r="A404" s="144" t="s">
        <v>1382</v>
      </c>
      <c r="B404" s="70" t="s">
        <v>813</v>
      </c>
      <c r="C404" s="87" t="s">
        <v>543</v>
      </c>
      <c r="D404" s="118">
        <f t="shared" si="13"/>
        <v>541.66999999999996</v>
      </c>
      <c r="E404" s="118">
        <f t="shared" si="14"/>
        <v>108.33</v>
      </c>
      <c r="F404" s="118">
        <v>650</v>
      </c>
      <c r="G404" s="89"/>
    </row>
    <row r="405" spans="1:9" s="84" customFormat="1" hidden="1" outlineLevel="1" x14ac:dyDescent="0.25">
      <c r="A405" s="144" t="s">
        <v>1383</v>
      </c>
      <c r="B405" s="70" t="s">
        <v>814</v>
      </c>
      <c r="C405" s="87" t="s">
        <v>487</v>
      </c>
      <c r="D405" s="118">
        <f t="shared" si="13"/>
        <v>291.67</v>
      </c>
      <c r="E405" s="118">
        <f t="shared" si="14"/>
        <v>58.33</v>
      </c>
      <c r="F405" s="118">
        <v>350</v>
      </c>
      <c r="G405" s="89"/>
    </row>
    <row r="406" spans="1:9" customFormat="1" hidden="1" outlineLevel="1" x14ac:dyDescent="0.25">
      <c r="A406" s="144" t="s">
        <v>1480</v>
      </c>
      <c r="B406" s="70" t="s">
        <v>1456</v>
      </c>
      <c r="C406" s="141" t="s">
        <v>487</v>
      </c>
      <c r="D406" s="118">
        <v>108.33</v>
      </c>
      <c r="E406" s="118">
        <f t="shared" ref="E406:E410" si="15">ROUND(D406*$E$7,2)</f>
        <v>21.67</v>
      </c>
      <c r="F406" s="118">
        <f t="shared" ref="F406:F410" si="16">E406+D406</f>
        <v>130</v>
      </c>
      <c r="G406" s="83" t="s">
        <v>1452</v>
      </c>
      <c r="H406" s="84"/>
      <c r="I406" s="84"/>
    </row>
    <row r="407" spans="1:9" customFormat="1" hidden="1" outlineLevel="1" x14ac:dyDescent="0.25">
      <c r="A407" s="144" t="s">
        <v>1481</v>
      </c>
      <c r="B407" s="70" t="s">
        <v>1496</v>
      </c>
      <c r="C407" s="141" t="s">
        <v>543</v>
      </c>
      <c r="D407" s="118">
        <v>125</v>
      </c>
      <c r="E407" s="118">
        <f t="shared" si="15"/>
        <v>25</v>
      </c>
      <c r="F407" s="118">
        <f t="shared" si="16"/>
        <v>150</v>
      </c>
      <c r="G407" s="83" t="s">
        <v>1452</v>
      </c>
      <c r="H407" s="84"/>
      <c r="I407" s="84"/>
    </row>
    <row r="408" spans="1:9" customFormat="1" hidden="1" outlineLevel="1" x14ac:dyDescent="0.25">
      <c r="A408" s="144" t="s">
        <v>1482</v>
      </c>
      <c r="B408" s="70" t="s">
        <v>1495</v>
      </c>
      <c r="C408" s="141" t="s">
        <v>543</v>
      </c>
      <c r="D408" s="118">
        <v>416.67</v>
      </c>
      <c r="E408" s="118">
        <f t="shared" si="15"/>
        <v>83.33</v>
      </c>
      <c r="F408" s="118">
        <f t="shared" si="16"/>
        <v>500</v>
      </c>
      <c r="G408" s="83" t="s">
        <v>1452</v>
      </c>
      <c r="H408" s="84"/>
      <c r="I408" s="84"/>
    </row>
    <row r="409" spans="1:9" customFormat="1" hidden="1" outlineLevel="1" x14ac:dyDescent="0.25">
      <c r="A409" s="144" t="s">
        <v>1483</v>
      </c>
      <c r="B409" s="70" t="s">
        <v>1460</v>
      </c>
      <c r="C409" s="141" t="s">
        <v>543</v>
      </c>
      <c r="D409" s="118">
        <v>112.5</v>
      </c>
      <c r="E409" s="118">
        <f t="shared" si="15"/>
        <v>22.5</v>
      </c>
      <c r="F409" s="118">
        <f t="shared" si="16"/>
        <v>135</v>
      </c>
      <c r="G409" s="83" t="s">
        <v>1452</v>
      </c>
      <c r="H409" s="84"/>
      <c r="I409" s="84"/>
    </row>
    <row r="410" spans="1:9" customFormat="1" hidden="1" outlineLevel="1" x14ac:dyDescent="0.25">
      <c r="A410" s="144" t="s">
        <v>1484</v>
      </c>
      <c r="B410" s="70" t="s">
        <v>1461</v>
      </c>
      <c r="C410" s="141" t="s">
        <v>543</v>
      </c>
      <c r="D410" s="118">
        <v>125</v>
      </c>
      <c r="E410" s="118">
        <f t="shared" si="15"/>
        <v>25</v>
      </c>
      <c r="F410" s="118">
        <f t="shared" si="16"/>
        <v>150</v>
      </c>
      <c r="G410" s="95" t="s">
        <v>1452</v>
      </c>
      <c r="H410" s="84"/>
      <c r="I410" s="84"/>
    </row>
    <row r="411" spans="1:9" customFormat="1" hidden="1" outlineLevel="1" x14ac:dyDescent="0.25">
      <c r="A411" s="144" t="s">
        <v>1485</v>
      </c>
      <c r="B411" s="70" t="s">
        <v>1458</v>
      </c>
      <c r="C411" s="87" t="s">
        <v>487</v>
      </c>
      <c r="D411" s="118"/>
      <c r="E411" s="118"/>
      <c r="F411" s="118"/>
      <c r="G411" s="83" t="s">
        <v>1452</v>
      </c>
      <c r="H411" s="84"/>
      <c r="I411" s="84"/>
    </row>
    <row r="412" spans="1:9" customFormat="1" hidden="1" outlineLevel="2" x14ac:dyDescent="0.25">
      <c r="A412" s="445"/>
      <c r="B412" s="70" t="s">
        <v>644</v>
      </c>
      <c r="C412" s="141"/>
      <c r="D412" s="118">
        <v>375</v>
      </c>
      <c r="E412" s="118">
        <f t="shared" ref="E412:E415" si="17">ROUND(D412*$E$7,2)</f>
        <v>75</v>
      </c>
      <c r="F412" s="118">
        <f t="shared" ref="F412:F415" si="18">E412+D412</f>
        <v>450</v>
      </c>
      <c r="G412" s="83"/>
      <c r="H412" s="84"/>
      <c r="I412" s="84"/>
    </row>
    <row r="413" spans="1:9" customFormat="1" hidden="1" outlineLevel="2" x14ac:dyDescent="0.25">
      <c r="A413" s="446"/>
      <c r="B413" s="70" t="s">
        <v>645</v>
      </c>
      <c r="C413" s="141"/>
      <c r="D413" s="118">
        <v>666.67</v>
      </c>
      <c r="E413" s="118">
        <f t="shared" si="17"/>
        <v>133.33000000000001</v>
      </c>
      <c r="F413" s="118">
        <f t="shared" si="18"/>
        <v>800</v>
      </c>
      <c r="G413" s="83"/>
      <c r="H413" s="84"/>
      <c r="I413" s="84"/>
    </row>
    <row r="414" spans="1:9" customFormat="1" hidden="1" outlineLevel="1" x14ac:dyDescent="0.25">
      <c r="A414" s="25" t="s">
        <v>1486</v>
      </c>
      <c r="B414" s="145" t="s">
        <v>1459</v>
      </c>
      <c r="C414" s="87" t="s">
        <v>487</v>
      </c>
      <c r="D414" s="118">
        <v>283.33</v>
      </c>
      <c r="E414" s="118">
        <f t="shared" si="17"/>
        <v>56.67</v>
      </c>
      <c r="F414" s="118">
        <f t="shared" si="18"/>
        <v>340</v>
      </c>
      <c r="G414" s="83" t="s">
        <v>1452</v>
      </c>
      <c r="H414" s="84"/>
      <c r="I414" s="84"/>
    </row>
    <row r="415" spans="1:9" customFormat="1" hidden="1" outlineLevel="1" x14ac:dyDescent="0.25">
      <c r="A415" s="144" t="s">
        <v>1487</v>
      </c>
      <c r="B415" s="70" t="s">
        <v>1488</v>
      </c>
      <c r="C415" s="141" t="s">
        <v>543</v>
      </c>
      <c r="D415" s="118">
        <v>333.33</v>
      </c>
      <c r="E415" s="118">
        <f t="shared" si="17"/>
        <v>66.67</v>
      </c>
      <c r="F415" s="118">
        <f t="shared" si="18"/>
        <v>400</v>
      </c>
      <c r="G415" s="95" t="s">
        <v>1452</v>
      </c>
      <c r="H415" s="84"/>
      <c r="I415" s="84"/>
    </row>
    <row r="416" spans="1:9" customFormat="1" hidden="1" outlineLevel="1" x14ac:dyDescent="0.25">
      <c r="A416" s="144" t="s">
        <v>1489</v>
      </c>
      <c r="B416" s="70" t="s">
        <v>1491</v>
      </c>
      <c r="C416" s="141" t="s">
        <v>543</v>
      </c>
      <c r="D416" s="118"/>
      <c r="E416" s="118"/>
      <c r="F416" s="118"/>
      <c r="G416" s="95" t="s">
        <v>1452</v>
      </c>
      <c r="H416" s="84"/>
      <c r="I416" s="84"/>
    </row>
    <row r="417" spans="1:11" customFormat="1" hidden="1" outlineLevel="2" x14ac:dyDescent="0.25">
      <c r="A417" s="445"/>
      <c r="B417" s="70" t="s">
        <v>644</v>
      </c>
      <c r="C417" s="141"/>
      <c r="D417" s="118">
        <v>1916.67</v>
      </c>
      <c r="E417" s="118">
        <f t="shared" ref="E417:E418" si="19">ROUND(D417*$E$7,2)</f>
        <v>383.33</v>
      </c>
      <c r="F417" s="118">
        <f t="shared" ref="F417:F418" si="20">E417+D417</f>
        <v>2300</v>
      </c>
      <c r="G417" s="83"/>
      <c r="H417" s="84"/>
      <c r="I417" s="84"/>
    </row>
    <row r="418" spans="1:11" customFormat="1" hidden="1" outlineLevel="2" x14ac:dyDescent="0.25">
      <c r="A418" s="446"/>
      <c r="B418" s="70" t="s">
        <v>645</v>
      </c>
      <c r="C418" s="141"/>
      <c r="D418" s="118">
        <v>2750</v>
      </c>
      <c r="E418" s="118">
        <f t="shared" si="19"/>
        <v>550</v>
      </c>
      <c r="F418" s="118">
        <f t="shared" si="20"/>
        <v>3300</v>
      </c>
      <c r="G418" s="83"/>
      <c r="H418" s="84"/>
      <c r="I418" s="84"/>
    </row>
    <row r="419" spans="1:11" customFormat="1" hidden="1" outlineLevel="1" x14ac:dyDescent="0.25">
      <c r="A419" s="144" t="s">
        <v>1490</v>
      </c>
      <c r="B419" s="70" t="s">
        <v>1492</v>
      </c>
      <c r="C419" s="141" t="s">
        <v>543</v>
      </c>
      <c r="D419" s="118"/>
      <c r="E419" s="118"/>
      <c r="F419" s="118"/>
      <c r="G419" s="95" t="s">
        <v>1452</v>
      </c>
      <c r="H419" s="84"/>
      <c r="I419" s="84"/>
    </row>
    <row r="420" spans="1:11" customFormat="1" hidden="1" outlineLevel="2" x14ac:dyDescent="0.25">
      <c r="A420" s="445"/>
      <c r="B420" s="70" t="s">
        <v>644</v>
      </c>
      <c r="C420" s="141"/>
      <c r="D420" s="118"/>
      <c r="E420" s="118">
        <f t="shared" ref="E420:E421" si="21">ROUND(D420*$E$7,2)</f>
        <v>0</v>
      </c>
      <c r="F420" s="118">
        <f t="shared" ref="F420:F421" si="22">E420+D420</f>
        <v>0</v>
      </c>
      <c r="G420" s="83"/>
      <c r="H420" s="84"/>
      <c r="I420" s="84"/>
    </row>
    <row r="421" spans="1:11" customFormat="1" hidden="1" outlineLevel="2" x14ac:dyDescent="0.25">
      <c r="A421" s="446"/>
      <c r="B421" s="70" t="s">
        <v>645</v>
      </c>
      <c r="C421" s="141"/>
      <c r="D421" s="118"/>
      <c r="E421" s="118">
        <f t="shared" si="21"/>
        <v>0</v>
      </c>
      <c r="F421" s="118">
        <f t="shared" si="22"/>
        <v>0</v>
      </c>
      <c r="G421" s="83"/>
      <c r="H421" s="84"/>
      <c r="I421" s="84"/>
    </row>
    <row r="422" spans="1:11" customFormat="1" ht="18.75" hidden="1" x14ac:dyDescent="0.25">
      <c r="A422" s="392" t="s">
        <v>1384</v>
      </c>
      <c r="B422" s="393"/>
      <c r="C422" s="393"/>
      <c r="D422" s="393"/>
      <c r="E422" s="393"/>
      <c r="F422" s="394"/>
      <c r="G422" s="89"/>
      <c r="H422" s="84"/>
      <c r="I422" s="83"/>
      <c r="J422" s="84"/>
      <c r="K422" s="84"/>
    </row>
    <row r="423" spans="1:11" customFormat="1" hidden="1" outlineLevel="1" x14ac:dyDescent="0.25">
      <c r="A423" s="144" t="s">
        <v>1231</v>
      </c>
      <c r="B423" s="70" t="s">
        <v>815</v>
      </c>
      <c r="C423" s="141" t="s">
        <v>816</v>
      </c>
      <c r="D423" s="118">
        <f t="shared" ref="D423:D486" si="23">F423-E423</f>
        <v>121.67</v>
      </c>
      <c r="E423" s="118">
        <f t="shared" si="14"/>
        <v>24.33</v>
      </c>
      <c r="F423" s="118">
        <v>146</v>
      </c>
      <c r="G423" s="83"/>
      <c r="H423" s="84"/>
      <c r="I423" s="84"/>
    </row>
    <row r="424" spans="1:11" customFormat="1" hidden="1" outlineLevel="1" x14ac:dyDescent="0.25">
      <c r="A424" s="144" t="s">
        <v>1232</v>
      </c>
      <c r="B424" s="70" t="s">
        <v>817</v>
      </c>
      <c r="C424" s="141" t="s">
        <v>487</v>
      </c>
      <c r="D424" s="118">
        <f t="shared" si="23"/>
        <v>220</v>
      </c>
      <c r="E424" s="118">
        <f t="shared" si="14"/>
        <v>44</v>
      </c>
      <c r="F424" s="118">
        <v>264</v>
      </c>
      <c r="G424" s="83"/>
      <c r="H424" s="84"/>
      <c r="I424" s="84"/>
    </row>
    <row r="425" spans="1:11" customFormat="1" hidden="1" outlineLevel="1" x14ac:dyDescent="0.25">
      <c r="A425" s="144" t="s">
        <v>1233</v>
      </c>
      <c r="B425" s="70" t="s">
        <v>818</v>
      </c>
      <c r="C425" s="141" t="s">
        <v>487</v>
      </c>
      <c r="D425" s="118">
        <f t="shared" si="23"/>
        <v>135.82999999999998</v>
      </c>
      <c r="E425" s="118">
        <f t="shared" si="14"/>
        <v>27.17</v>
      </c>
      <c r="F425" s="118">
        <v>163</v>
      </c>
      <c r="G425" s="83"/>
      <c r="H425" s="84"/>
      <c r="I425" s="84"/>
    </row>
    <row r="426" spans="1:11" customFormat="1" hidden="1" outlineLevel="1" x14ac:dyDescent="0.25">
      <c r="A426" s="144" t="s">
        <v>1234</v>
      </c>
      <c r="B426" s="70" t="s">
        <v>819</v>
      </c>
      <c r="C426" s="141" t="s">
        <v>487</v>
      </c>
      <c r="D426" s="118">
        <f t="shared" si="23"/>
        <v>289.17</v>
      </c>
      <c r="E426" s="118">
        <f t="shared" si="14"/>
        <v>57.83</v>
      </c>
      <c r="F426" s="118">
        <v>347</v>
      </c>
      <c r="G426" s="83"/>
      <c r="H426" s="84"/>
      <c r="I426" s="84"/>
    </row>
    <row r="427" spans="1:11" customFormat="1" ht="31.5" hidden="1" outlineLevel="1" x14ac:dyDescent="0.25">
      <c r="A427" s="144" t="s">
        <v>1235</v>
      </c>
      <c r="B427" s="70" t="s">
        <v>820</v>
      </c>
      <c r="C427" s="141" t="s">
        <v>487</v>
      </c>
      <c r="D427" s="118">
        <f t="shared" si="23"/>
        <v>289.17</v>
      </c>
      <c r="E427" s="118">
        <f t="shared" si="14"/>
        <v>57.83</v>
      </c>
      <c r="F427" s="118">
        <v>347</v>
      </c>
      <c r="G427" s="83"/>
      <c r="H427" s="84"/>
      <c r="I427" s="84"/>
    </row>
    <row r="428" spans="1:11" customFormat="1" ht="31.5" hidden="1" outlineLevel="1" x14ac:dyDescent="0.25">
      <c r="A428" s="144" t="s">
        <v>1236</v>
      </c>
      <c r="B428" s="70" t="s">
        <v>821</v>
      </c>
      <c r="C428" s="141" t="s">
        <v>487</v>
      </c>
      <c r="D428" s="118"/>
      <c r="E428" s="118"/>
      <c r="F428" s="118"/>
      <c r="G428" s="83"/>
      <c r="H428" s="84"/>
      <c r="I428" s="84"/>
    </row>
    <row r="429" spans="1:11" customFormat="1" hidden="1" outlineLevel="2" x14ac:dyDescent="0.25">
      <c r="A429" s="442"/>
      <c r="B429" s="70" t="s">
        <v>822</v>
      </c>
      <c r="C429" s="141"/>
      <c r="D429" s="118">
        <f t="shared" si="23"/>
        <v>0.83</v>
      </c>
      <c r="E429" s="118">
        <f t="shared" si="14"/>
        <v>0.17</v>
      </c>
      <c r="F429" s="118">
        <v>1</v>
      </c>
      <c r="G429" s="83"/>
      <c r="H429" s="84"/>
      <c r="I429" s="84"/>
    </row>
    <row r="430" spans="1:11" customFormat="1" hidden="1" outlineLevel="2" x14ac:dyDescent="0.25">
      <c r="A430" s="443"/>
      <c r="B430" s="70" t="s">
        <v>823</v>
      </c>
      <c r="C430" s="141"/>
      <c r="D430" s="118">
        <f t="shared" si="23"/>
        <v>2.5</v>
      </c>
      <c r="E430" s="118">
        <f t="shared" si="14"/>
        <v>0.5</v>
      </c>
      <c r="F430" s="118">
        <v>3</v>
      </c>
      <c r="G430" s="83"/>
      <c r="H430" s="84"/>
      <c r="I430" s="84"/>
    </row>
    <row r="431" spans="1:11" customFormat="1" hidden="1" outlineLevel="2" x14ac:dyDescent="0.25">
      <c r="A431" s="443"/>
      <c r="B431" s="70" t="s">
        <v>975</v>
      </c>
      <c r="C431" s="141"/>
      <c r="D431" s="118">
        <f t="shared" si="23"/>
        <v>97.5</v>
      </c>
      <c r="E431" s="118">
        <f t="shared" si="14"/>
        <v>19.5</v>
      </c>
      <c r="F431" s="118">
        <v>117</v>
      </c>
      <c r="G431" s="83"/>
      <c r="H431" s="84"/>
      <c r="I431" s="84"/>
    </row>
    <row r="432" spans="1:11" customFormat="1" hidden="1" outlineLevel="2" x14ac:dyDescent="0.25">
      <c r="A432" s="443"/>
      <c r="B432" s="70" t="s">
        <v>976</v>
      </c>
      <c r="C432" s="141"/>
      <c r="D432" s="118">
        <f t="shared" si="23"/>
        <v>84.17</v>
      </c>
      <c r="E432" s="118">
        <f t="shared" si="14"/>
        <v>16.829999999999998</v>
      </c>
      <c r="F432" s="118">
        <v>101</v>
      </c>
      <c r="G432" s="83"/>
      <c r="H432" s="84"/>
      <c r="I432" s="84"/>
    </row>
    <row r="433" spans="1:9" customFormat="1" hidden="1" outlineLevel="2" x14ac:dyDescent="0.25">
      <c r="A433" s="443"/>
      <c r="B433" s="70" t="s">
        <v>977</v>
      </c>
      <c r="C433" s="141"/>
      <c r="D433" s="118">
        <f t="shared" si="23"/>
        <v>72.5</v>
      </c>
      <c r="E433" s="118">
        <f t="shared" si="14"/>
        <v>14.5</v>
      </c>
      <c r="F433" s="118">
        <v>87</v>
      </c>
      <c r="G433" s="83"/>
      <c r="H433" s="84"/>
      <c r="I433" s="84"/>
    </row>
    <row r="434" spans="1:9" customFormat="1" hidden="1" outlineLevel="2" x14ac:dyDescent="0.25">
      <c r="A434" s="443"/>
      <c r="B434" s="70" t="s">
        <v>978</v>
      </c>
      <c r="C434" s="141"/>
      <c r="D434" s="118">
        <f t="shared" si="23"/>
        <v>61.67</v>
      </c>
      <c r="E434" s="118">
        <f t="shared" si="14"/>
        <v>12.33</v>
      </c>
      <c r="F434" s="118">
        <v>74</v>
      </c>
      <c r="G434" s="83"/>
      <c r="H434" s="84"/>
      <c r="I434" s="84"/>
    </row>
    <row r="435" spans="1:9" customFormat="1" hidden="1" outlineLevel="2" x14ac:dyDescent="0.25">
      <c r="A435" s="444"/>
      <c r="B435" s="70" t="s">
        <v>827</v>
      </c>
      <c r="C435" s="141"/>
      <c r="D435" s="118">
        <f t="shared" si="23"/>
        <v>8.33</v>
      </c>
      <c r="E435" s="118">
        <f t="shared" si="14"/>
        <v>1.67</v>
      </c>
      <c r="F435" s="118">
        <v>10</v>
      </c>
      <c r="G435" s="83"/>
      <c r="H435" s="84"/>
      <c r="I435" s="84"/>
    </row>
    <row r="436" spans="1:9" customFormat="1" hidden="1" outlineLevel="1" x14ac:dyDescent="0.25">
      <c r="A436" s="144" t="s">
        <v>1237</v>
      </c>
      <c r="B436" s="70" t="s">
        <v>828</v>
      </c>
      <c r="C436" s="141" t="s">
        <v>829</v>
      </c>
      <c r="D436" s="118">
        <f t="shared" si="23"/>
        <v>451.67</v>
      </c>
      <c r="E436" s="118">
        <f t="shared" si="14"/>
        <v>90.33</v>
      </c>
      <c r="F436" s="118">
        <v>542</v>
      </c>
      <c r="G436" s="83"/>
      <c r="H436" s="84"/>
      <c r="I436" s="84"/>
    </row>
    <row r="437" spans="1:9" customFormat="1" hidden="1" outlineLevel="1" x14ac:dyDescent="0.25">
      <c r="A437" s="144" t="s">
        <v>1238</v>
      </c>
      <c r="B437" s="70" t="s">
        <v>830</v>
      </c>
      <c r="C437" s="141" t="s">
        <v>487</v>
      </c>
      <c r="D437" s="118">
        <f t="shared" si="23"/>
        <v>170.82999999999998</v>
      </c>
      <c r="E437" s="118">
        <f t="shared" si="14"/>
        <v>34.17</v>
      </c>
      <c r="F437" s="118">
        <v>205</v>
      </c>
      <c r="G437" s="83"/>
      <c r="H437" s="84"/>
      <c r="I437" s="84"/>
    </row>
    <row r="438" spans="1:9" customFormat="1" ht="31.5" hidden="1" outlineLevel="1" x14ac:dyDescent="0.25">
      <c r="A438" s="144" t="s">
        <v>1239</v>
      </c>
      <c r="B438" s="70" t="s">
        <v>831</v>
      </c>
      <c r="C438" s="141" t="s">
        <v>487</v>
      </c>
      <c r="D438" s="118">
        <f t="shared" si="23"/>
        <v>97.5</v>
      </c>
      <c r="E438" s="118">
        <f t="shared" si="14"/>
        <v>19.5</v>
      </c>
      <c r="F438" s="118">
        <v>117</v>
      </c>
      <c r="G438" s="83"/>
      <c r="H438" s="84"/>
      <c r="I438" s="84"/>
    </row>
    <row r="439" spans="1:9" customFormat="1" hidden="1" outlineLevel="1" x14ac:dyDescent="0.25">
      <c r="A439" s="144" t="s">
        <v>1240</v>
      </c>
      <c r="B439" s="70" t="s">
        <v>832</v>
      </c>
      <c r="C439" s="141" t="s">
        <v>499</v>
      </c>
      <c r="D439" s="118">
        <f t="shared" si="23"/>
        <v>73.33</v>
      </c>
      <c r="E439" s="118">
        <f t="shared" si="14"/>
        <v>14.67</v>
      </c>
      <c r="F439" s="118">
        <v>88</v>
      </c>
      <c r="G439" s="83"/>
      <c r="H439" s="84"/>
      <c r="I439" s="84"/>
    </row>
    <row r="440" spans="1:9" customFormat="1" hidden="1" outlineLevel="1" x14ac:dyDescent="0.25">
      <c r="A440" s="144" t="s">
        <v>1241</v>
      </c>
      <c r="B440" s="70" t="s">
        <v>833</v>
      </c>
      <c r="C440" s="141" t="s">
        <v>499</v>
      </c>
      <c r="D440" s="118">
        <f t="shared" si="23"/>
        <v>292.5</v>
      </c>
      <c r="E440" s="118">
        <f t="shared" si="14"/>
        <v>58.5</v>
      </c>
      <c r="F440" s="118">
        <v>351</v>
      </c>
      <c r="G440" s="83"/>
      <c r="H440" s="84"/>
      <c r="I440" s="84"/>
    </row>
    <row r="441" spans="1:9" customFormat="1" hidden="1" outlineLevel="1" x14ac:dyDescent="0.25">
      <c r="A441" s="144" t="s">
        <v>1242</v>
      </c>
      <c r="B441" s="70" t="s">
        <v>834</v>
      </c>
      <c r="C441" s="141" t="s">
        <v>499</v>
      </c>
      <c r="D441" s="118">
        <f t="shared" si="23"/>
        <v>121.67</v>
      </c>
      <c r="E441" s="118">
        <f t="shared" si="14"/>
        <v>24.33</v>
      </c>
      <c r="F441" s="118">
        <v>146</v>
      </c>
      <c r="G441" s="83"/>
      <c r="H441" s="84"/>
      <c r="I441" s="84"/>
    </row>
    <row r="442" spans="1:9" customFormat="1" hidden="1" outlineLevel="1" x14ac:dyDescent="0.25">
      <c r="A442" s="144" t="s">
        <v>1243</v>
      </c>
      <c r="B442" s="70" t="s">
        <v>835</v>
      </c>
      <c r="C442" s="141" t="s">
        <v>499</v>
      </c>
      <c r="D442" s="118">
        <f t="shared" si="23"/>
        <v>220</v>
      </c>
      <c r="E442" s="118">
        <f t="shared" si="14"/>
        <v>44</v>
      </c>
      <c r="F442" s="118">
        <v>264</v>
      </c>
      <c r="G442" s="83"/>
      <c r="H442" s="84"/>
      <c r="I442" s="84"/>
    </row>
    <row r="443" spans="1:9" customFormat="1" ht="31.5" hidden="1" outlineLevel="1" x14ac:dyDescent="0.25">
      <c r="A443" s="144" t="s">
        <v>1244</v>
      </c>
      <c r="B443" s="70" t="s">
        <v>836</v>
      </c>
      <c r="C443" s="141" t="s">
        <v>487</v>
      </c>
      <c r="D443" s="118">
        <f t="shared" si="23"/>
        <v>195.82999999999998</v>
      </c>
      <c r="E443" s="118">
        <f t="shared" si="14"/>
        <v>39.17</v>
      </c>
      <c r="F443" s="118">
        <v>235</v>
      </c>
      <c r="G443" s="83"/>
      <c r="H443" s="84"/>
      <c r="I443" s="84"/>
    </row>
    <row r="444" spans="1:9" customFormat="1" hidden="1" outlineLevel="1" x14ac:dyDescent="0.25">
      <c r="A444" s="144" t="s">
        <v>1245</v>
      </c>
      <c r="B444" s="70" t="s">
        <v>837</v>
      </c>
      <c r="C444" s="141" t="s">
        <v>838</v>
      </c>
      <c r="D444" s="118">
        <f t="shared" si="23"/>
        <v>145.82999999999998</v>
      </c>
      <c r="E444" s="118">
        <f t="shared" si="14"/>
        <v>29.17</v>
      </c>
      <c r="F444" s="118">
        <v>175</v>
      </c>
      <c r="G444" s="83"/>
      <c r="H444" s="84"/>
      <c r="I444" s="84"/>
    </row>
    <row r="445" spans="1:9" customFormat="1" hidden="1" outlineLevel="1" x14ac:dyDescent="0.25">
      <c r="A445" s="144" t="s">
        <v>1246</v>
      </c>
      <c r="B445" s="70" t="s">
        <v>839</v>
      </c>
      <c r="C445" s="141" t="s">
        <v>838</v>
      </c>
      <c r="D445" s="118">
        <f t="shared" si="23"/>
        <v>145.82999999999998</v>
      </c>
      <c r="E445" s="118">
        <f t="shared" si="14"/>
        <v>29.17</v>
      </c>
      <c r="F445" s="118">
        <v>175</v>
      </c>
      <c r="G445" s="83"/>
      <c r="H445" s="84"/>
      <c r="I445" s="84"/>
    </row>
    <row r="446" spans="1:9" customFormat="1" hidden="1" outlineLevel="1" x14ac:dyDescent="0.25">
      <c r="A446" s="144" t="s">
        <v>1247</v>
      </c>
      <c r="B446" s="70" t="s">
        <v>840</v>
      </c>
      <c r="C446" s="141" t="s">
        <v>487</v>
      </c>
      <c r="D446" s="118">
        <f t="shared" si="23"/>
        <v>365.83</v>
      </c>
      <c r="E446" s="118">
        <f t="shared" si="14"/>
        <v>73.17</v>
      </c>
      <c r="F446" s="118">
        <v>439</v>
      </c>
      <c r="G446" s="83"/>
      <c r="H446" s="84"/>
      <c r="I446" s="84"/>
    </row>
    <row r="447" spans="1:9" customFormat="1" hidden="1" outlineLevel="1" x14ac:dyDescent="0.25">
      <c r="A447" s="144" t="s">
        <v>1248</v>
      </c>
      <c r="B447" s="70" t="s">
        <v>841</v>
      </c>
      <c r="C447" s="141" t="s">
        <v>499</v>
      </c>
      <c r="D447" s="118">
        <f t="shared" si="23"/>
        <v>365.83</v>
      </c>
      <c r="E447" s="118">
        <f t="shared" si="14"/>
        <v>73.17</v>
      </c>
      <c r="F447" s="118">
        <v>439</v>
      </c>
      <c r="G447" s="83"/>
      <c r="H447" s="84"/>
      <c r="I447" s="84"/>
    </row>
    <row r="448" spans="1:9" customFormat="1" hidden="1" outlineLevel="1" x14ac:dyDescent="0.25">
      <c r="A448" s="144" t="s">
        <v>1249</v>
      </c>
      <c r="B448" s="70" t="s">
        <v>842</v>
      </c>
      <c r="C448" s="141" t="s">
        <v>487</v>
      </c>
      <c r="D448" s="118">
        <f t="shared" si="23"/>
        <v>225.82999999999998</v>
      </c>
      <c r="E448" s="118">
        <f t="shared" si="14"/>
        <v>45.17</v>
      </c>
      <c r="F448" s="118">
        <v>271</v>
      </c>
      <c r="G448" s="83"/>
      <c r="H448" s="84"/>
      <c r="I448" s="84"/>
    </row>
    <row r="449" spans="1:9" customFormat="1" hidden="1" outlineLevel="1" x14ac:dyDescent="0.25">
      <c r="A449" s="144" t="s">
        <v>1250</v>
      </c>
      <c r="B449" s="70" t="s">
        <v>843</v>
      </c>
      <c r="C449" s="141" t="s">
        <v>487</v>
      </c>
      <c r="D449" s="118">
        <f t="shared" si="23"/>
        <v>365.83</v>
      </c>
      <c r="E449" s="118">
        <f t="shared" si="14"/>
        <v>73.17</v>
      </c>
      <c r="F449" s="118">
        <v>439</v>
      </c>
      <c r="G449" s="83"/>
      <c r="H449" s="84"/>
      <c r="I449" s="84"/>
    </row>
    <row r="450" spans="1:9" customFormat="1" hidden="1" outlineLevel="1" x14ac:dyDescent="0.25">
      <c r="A450" s="144" t="s">
        <v>1251</v>
      </c>
      <c r="B450" s="70" t="s">
        <v>844</v>
      </c>
      <c r="C450" s="141" t="s">
        <v>487</v>
      </c>
      <c r="D450" s="118">
        <f t="shared" si="23"/>
        <v>854.17</v>
      </c>
      <c r="E450" s="118">
        <f t="shared" si="14"/>
        <v>170.83</v>
      </c>
      <c r="F450" s="118">
        <v>1025</v>
      </c>
      <c r="G450" s="83"/>
      <c r="H450" s="84"/>
      <c r="I450" s="84"/>
    </row>
    <row r="451" spans="1:9" customFormat="1" hidden="1" outlineLevel="1" x14ac:dyDescent="0.25">
      <c r="A451" s="144" t="s">
        <v>1252</v>
      </c>
      <c r="B451" s="70" t="s">
        <v>845</v>
      </c>
      <c r="C451" s="141" t="s">
        <v>487</v>
      </c>
      <c r="D451" s="118">
        <f t="shared" si="23"/>
        <v>1220</v>
      </c>
      <c r="E451" s="118">
        <f t="shared" si="14"/>
        <v>244</v>
      </c>
      <c r="F451" s="118">
        <v>1464</v>
      </c>
      <c r="G451" s="83"/>
      <c r="H451" s="84"/>
      <c r="I451" s="84"/>
    </row>
    <row r="452" spans="1:9" customFormat="1" hidden="1" outlineLevel="1" x14ac:dyDescent="0.25">
      <c r="A452" s="144" t="s">
        <v>1253</v>
      </c>
      <c r="B452" s="70" t="s">
        <v>846</v>
      </c>
      <c r="C452" s="141" t="s">
        <v>487</v>
      </c>
      <c r="D452" s="118">
        <f t="shared" si="23"/>
        <v>488.33</v>
      </c>
      <c r="E452" s="118">
        <f t="shared" si="14"/>
        <v>97.67</v>
      </c>
      <c r="F452" s="118">
        <v>586</v>
      </c>
      <c r="G452" s="83"/>
      <c r="H452" s="84"/>
      <c r="I452" s="84"/>
    </row>
    <row r="453" spans="1:9" customFormat="1" hidden="1" outlineLevel="1" x14ac:dyDescent="0.25">
      <c r="A453" s="144" t="s">
        <v>1254</v>
      </c>
      <c r="B453" s="70" t="s">
        <v>847</v>
      </c>
      <c r="C453" s="141" t="s">
        <v>543</v>
      </c>
      <c r="D453" s="118"/>
      <c r="E453" s="118"/>
      <c r="F453" s="118"/>
      <c r="G453" s="83"/>
      <c r="H453" s="84"/>
      <c r="I453" s="84"/>
    </row>
    <row r="454" spans="1:9" customFormat="1" hidden="1" outlineLevel="2" x14ac:dyDescent="0.25">
      <c r="A454" s="447"/>
      <c r="B454" s="70" t="s">
        <v>824</v>
      </c>
      <c r="C454" s="141"/>
      <c r="D454" s="118">
        <f t="shared" si="23"/>
        <v>1830.83</v>
      </c>
      <c r="E454" s="118">
        <f t="shared" si="14"/>
        <v>366.17</v>
      </c>
      <c r="F454" s="118">
        <v>2197</v>
      </c>
      <c r="G454" s="83"/>
      <c r="H454" s="84"/>
      <c r="I454" s="84"/>
    </row>
    <row r="455" spans="1:9" customFormat="1" hidden="1" outlineLevel="2" x14ac:dyDescent="0.25">
      <c r="A455" s="447"/>
      <c r="B455" s="70" t="s">
        <v>848</v>
      </c>
      <c r="C455" s="88"/>
      <c r="D455" s="118">
        <f t="shared" si="23"/>
        <v>610</v>
      </c>
      <c r="E455" s="118">
        <f t="shared" si="14"/>
        <v>122</v>
      </c>
      <c r="F455" s="118">
        <v>732</v>
      </c>
      <c r="G455" s="83"/>
      <c r="H455" s="84"/>
      <c r="I455" s="84"/>
    </row>
    <row r="456" spans="1:9" customFormat="1" hidden="1" outlineLevel="1" x14ac:dyDescent="0.25">
      <c r="A456" s="144" t="s">
        <v>1255</v>
      </c>
      <c r="B456" s="70" t="s">
        <v>849</v>
      </c>
      <c r="C456" s="141" t="s">
        <v>543</v>
      </c>
      <c r="D456" s="118">
        <f t="shared" si="23"/>
        <v>1098.33</v>
      </c>
      <c r="E456" s="118">
        <f t="shared" si="14"/>
        <v>219.67</v>
      </c>
      <c r="F456" s="118">
        <v>1318</v>
      </c>
      <c r="G456" s="83"/>
      <c r="H456" s="84"/>
      <c r="I456" s="84"/>
    </row>
    <row r="457" spans="1:9" customFormat="1" hidden="1" outlineLevel="1" x14ac:dyDescent="0.25">
      <c r="A457" s="144" t="s">
        <v>1256</v>
      </c>
      <c r="B457" s="70" t="s">
        <v>850</v>
      </c>
      <c r="C457" s="141" t="s">
        <v>487</v>
      </c>
      <c r="D457" s="118"/>
      <c r="E457" s="118"/>
      <c r="F457" s="118"/>
      <c r="G457" s="83"/>
      <c r="H457" s="84"/>
      <c r="I457" s="84"/>
    </row>
    <row r="458" spans="1:9" customFormat="1" hidden="1" outlineLevel="2" x14ac:dyDescent="0.25">
      <c r="A458" s="447"/>
      <c r="B458" s="70" t="s">
        <v>824</v>
      </c>
      <c r="C458" s="141"/>
      <c r="D458" s="118">
        <f t="shared" si="23"/>
        <v>975.83</v>
      </c>
      <c r="E458" s="118">
        <f t="shared" si="14"/>
        <v>195.17</v>
      </c>
      <c r="F458" s="118">
        <v>1171</v>
      </c>
      <c r="G458" s="83"/>
      <c r="H458" s="84"/>
      <c r="I458" s="84"/>
    </row>
    <row r="459" spans="1:9" customFormat="1" hidden="1" outlineLevel="2" x14ac:dyDescent="0.25">
      <c r="A459" s="447"/>
      <c r="B459" s="70" t="s">
        <v>826</v>
      </c>
      <c r="C459" s="141" t="s">
        <v>487</v>
      </c>
      <c r="D459" s="118">
        <f t="shared" si="23"/>
        <v>488.33</v>
      </c>
      <c r="E459" s="118">
        <f t="shared" si="14"/>
        <v>97.67</v>
      </c>
      <c r="F459" s="118">
        <v>586</v>
      </c>
      <c r="G459" s="83"/>
      <c r="H459" s="84"/>
      <c r="I459" s="84"/>
    </row>
    <row r="460" spans="1:9" customFormat="1" ht="31.5" hidden="1" outlineLevel="1" x14ac:dyDescent="0.25">
      <c r="A460" s="144" t="s">
        <v>1257</v>
      </c>
      <c r="B460" s="70" t="s">
        <v>851</v>
      </c>
      <c r="C460" s="141" t="s">
        <v>487</v>
      </c>
      <c r="D460" s="118"/>
      <c r="E460" s="118"/>
      <c r="F460" s="118"/>
      <c r="G460" s="83"/>
      <c r="H460" s="84"/>
      <c r="I460" s="84"/>
    </row>
    <row r="461" spans="1:9" customFormat="1" hidden="1" outlineLevel="2" x14ac:dyDescent="0.25">
      <c r="A461" s="447"/>
      <c r="B461" s="70" t="s">
        <v>852</v>
      </c>
      <c r="C461" s="141"/>
      <c r="D461" s="118">
        <f t="shared" si="23"/>
        <v>72.5</v>
      </c>
      <c r="E461" s="118">
        <f t="shared" si="14"/>
        <v>14.5</v>
      </c>
      <c r="F461" s="118">
        <v>87</v>
      </c>
      <c r="G461" s="83"/>
      <c r="H461" s="84"/>
      <c r="I461" s="84"/>
    </row>
    <row r="462" spans="1:9" customFormat="1" hidden="1" outlineLevel="2" x14ac:dyDescent="0.25">
      <c r="A462" s="447"/>
      <c r="B462" s="70" t="s">
        <v>826</v>
      </c>
      <c r="C462" s="141"/>
      <c r="D462" s="118">
        <f t="shared" si="23"/>
        <v>50</v>
      </c>
      <c r="E462" s="118">
        <f t="shared" si="14"/>
        <v>10</v>
      </c>
      <c r="F462" s="118">
        <v>60</v>
      </c>
      <c r="G462" s="83"/>
      <c r="H462" s="84"/>
      <c r="I462" s="84"/>
    </row>
    <row r="463" spans="1:9" customFormat="1" hidden="1" outlineLevel="1" x14ac:dyDescent="0.25">
      <c r="A463" s="144" t="s">
        <v>1258</v>
      </c>
      <c r="B463" s="70" t="s">
        <v>853</v>
      </c>
      <c r="C463" s="141" t="s">
        <v>487</v>
      </c>
      <c r="D463" s="118">
        <f t="shared" si="23"/>
        <v>48.33</v>
      </c>
      <c r="E463" s="118">
        <f t="shared" si="14"/>
        <v>9.67</v>
      </c>
      <c r="F463" s="118">
        <v>58</v>
      </c>
      <c r="G463" s="83"/>
      <c r="H463" s="84"/>
      <c r="I463" s="84"/>
    </row>
    <row r="464" spans="1:9" customFormat="1" hidden="1" outlineLevel="1" x14ac:dyDescent="0.25">
      <c r="A464" s="144" t="s">
        <v>1259</v>
      </c>
      <c r="B464" s="70" t="s">
        <v>854</v>
      </c>
      <c r="C464" s="141" t="s">
        <v>487</v>
      </c>
      <c r="D464" s="118">
        <f t="shared" si="23"/>
        <v>731.67</v>
      </c>
      <c r="E464" s="118">
        <f t="shared" si="14"/>
        <v>146.33000000000001</v>
      </c>
      <c r="F464" s="118">
        <v>878</v>
      </c>
      <c r="G464" s="83"/>
      <c r="H464" s="84"/>
      <c r="I464" s="84"/>
    </row>
    <row r="465" spans="1:9" customFormat="1" hidden="1" outlineLevel="1" x14ac:dyDescent="0.25">
      <c r="A465" s="144" t="s">
        <v>1260</v>
      </c>
      <c r="B465" s="70" t="s">
        <v>855</v>
      </c>
      <c r="C465" s="141" t="s">
        <v>487</v>
      </c>
      <c r="D465" s="118">
        <f t="shared" si="23"/>
        <v>439.17</v>
      </c>
      <c r="E465" s="118">
        <f t="shared" si="14"/>
        <v>87.83</v>
      </c>
      <c r="F465" s="118">
        <v>527</v>
      </c>
      <c r="G465" s="83"/>
      <c r="H465" s="84"/>
      <c r="I465" s="84"/>
    </row>
    <row r="466" spans="1:9" customFormat="1" hidden="1" outlineLevel="1" x14ac:dyDescent="0.25">
      <c r="A466" s="144" t="s">
        <v>1261</v>
      </c>
      <c r="B466" s="70" t="s">
        <v>856</v>
      </c>
      <c r="C466" s="141" t="s">
        <v>700</v>
      </c>
      <c r="D466" s="118">
        <f t="shared" si="23"/>
        <v>270.83</v>
      </c>
      <c r="E466" s="118">
        <f t="shared" si="14"/>
        <v>54.17</v>
      </c>
      <c r="F466" s="118">
        <v>325</v>
      </c>
      <c r="G466" s="83"/>
      <c r="H466" s="84"/>
      <c r="I466" s="84"/>
    </row>
    <row r="467" spans="1:9" customFormat="1" hidden="1" outlineLevel="1" x14ac:dyDescent="0.25">
      <c r="A467" s="144" t="s">
        <v>1262</v>
      </c>
      <c r="B467" s="70" t="s">
        <v>857</v>
      </c>
      <c r="C467" s="141" t="s">
        <v>487</v>
      </c>
      <c r="D467" s="118"/>
      <c r="E467" s="118"/>
      <c r="F467" s="118"/>
      <c r="G467" s="83"/>
      <c r="H467" s="84"/>
      <c r="I467" s="84"/>
    </row>
    <row r="468" spans="1:9" customFormat="1" hidden="1" outlineLevel="2" x14ac:dyDescent="0.25">
      <c r="A468" s="447"/>
      <c r="B468" s="70" t="s">
        <v>858</v>
      </c>
      <c r="C468" s="141"/>
      <c r="D468" s="118">
        <f t="shared" si="23"/>
        <v>361.67</v>
      </c>
      <c r="E468" s="118">
        <f t="shared" si="14"/>
        <v>72.33</v>
      </c>
      <c r="F468" s="118">
        <v>434</v>
      </c>
      <c r="G468" s="83"/>
      <c r="H468" s="84"/>
      <c r="I468" s="84"/>
    </row>
    <row r="469" spans="1:9" customFormat="1" hidden="1" outlineLevel="2" x14ac:dyDescent="0.25">
      <c r="A469" s="447"/>
      <c r="B469" s="70" t="s">
        <v>859</v>
      </c>
      <c r="C469" s="88"/>
      <c r="D469" s="118">
        <f t="shared" si="23"/>
        <v>610</v>
      </c>
      <c r="E469" s="118">
        <f t="shared" si="14"/>
        <v>122</v>
      </c>
      <c r="F469" s="118">
        <v>732</v>
      </c>
      <c r="G469" s="83"/>
      <c r="H469" s="84"/>
      <c r="I469" s="84"/>
    </row>
    <row r="470" spans="1:9" customFormat="1" hidden="1" outlineLevel="1" x14ac:dyDescent="0.25">
      <c r="A470" s="144" t="s">
        <v>1263</v>
      </c>
      <c r="B470" s="70" t="s">
        <v>860</v>
      </c>
      <c r="C470" s="141" t="s">
        <v>487</v>
      </c>
      <c r="D470" s="118">
        <f t="shared" si="23"/>
        <v>244.17000000000002</v>
      </c>
      <c r="E470" s="118">
        <f t="shared" si="14"/>
        <v>48.83</v>
      </c>
      <c r="F470" s="118">
        <v>293</v>
      </c>
      <c r="G470" s="83"/>
      <c r="H470" s="84"/>
      <c r="I470" s="84"/>
    </row>
    <row r="471" spans="1:9" customFormat="1" hidden="1" outlineLevel="1" x14ac:dyDescent="0.25">
      <c r="A471" s="144" t="s">
        <v>1264</v>
      </c>
      <c r="B471" s="70" t="s">
        <v>861</v>
      </c>
      <c r="C471" s="141" t="s">
        <v>487</v>
      </c>
      <c r="D471" s="118">
        <f t="shared" si="23"/>
        <v>316.67</v>
      </c>
      <c r="E471" s="118">
        <f t="shared" si="14"/>
        <v>63.33</v>
      </c>
      <c r="F471" s="118">
        <v>380</v>
      </c>
      <c r="G471" s="83"/>
      <c r="H471" s="84"/>
      <c r="I471" s="84"/>
    </row>
    <row r="472" spans="1:9" customFormat="1" hidden="1" outlineLevel="1" x14ac:dyDescent="0.25">
      <c r="A472" s="144" t="s">
        <v>1265</v>
      </c>
      <c r="B472" s="70" t="s">
        <v>862</v>
      </c>
      <c r="C472" s="141" t="s">
        <v>487</v>
      </c>
      <c r="D472" s="118"/>
      <c r="E472" s="118"/>
      <c r="F472" s="118"/>
      <c r="G472" s="83"/>
      <c r="H472" s="84"/>
      <c r="I472" s="84"/>
    </row>
    <row r="473" spans="1:9" customFormat="1" hidden="1" outlineLevel="2" x14ac:dyDescent="0.25">
      <c r="A473" s="447"/>
      <c r="B473" s="70" t="s">
        <v>852</v>
      </c>
      <c r="C473" s="141"/>
      <c r="D473" s="118">
        <f t="shared" si="23"/>
        <v>97.5</v>
      </c>
      <c r="E473" s="118">
        <f t="shared" si="14"/>
        <v>19.5</v>
      </c>
      <c r="F473" s="118">
        <v>117</v>
      </c>
      <c r="G473" s="83"/>
      <c r="H473" s="84"/>
      <c r="I473" s="84"/>
    </row>
    <row r="474" spans="1:9" customFormat="1" hidden="1" outlineLevel="2" x14ac:dyDescent="0.25">
      <c r="A474" s="447"/>
      <c r="B474" s="70" t="s">
        <v>826</v>
      </c>
      <c r="C474" s="88"/>
      <c r="D474" s="118">
        <f t="shared" si="23"/>
        <v>48.33</v>
      </c>
      <c r="E474" s="118">
        <f t="shared" si="14"/>
        <v>9.67</v>
      </c>
      <c r="F474" s="118">
        <v>58</v>
      </c>
      <c r="G474" s="83"/>
      <c r="H474" s="84"/>
      <c r="I474" s="84"/>
    </row>
    <row r="475" spans="1:9" customFormat="1" hidden="1" outlineLevel="2" x14ac:dyDescent="0.25">
      <c r="A475" s="447"/>
      <c r="B475" s="70" t="s">
        <v>825</v>
      </c>
      <c r="C475" s="88"/>
      <c r="D475" s="118">
        <f t="shared" si="23"/>
        <v>63.33</v>
      </c>
      <c r="E475" s="118">
        <f t="shared" si="14"/>
        <v>12.67</v>
      </c>
      <c r="F475" s="118">
        <v>76</v>
      </c>
      <c r="G475" s="83"/>
      <c r="H475" s="84"/>
      <c r="I475" s="84"/>
    </row>
    <row r="476" spans="1:9" customFormat="1" hidden="1" outlineLevel="2" x14ac:dyDescent="0.25">
      <c r="A476" s="447"/>
      <c r="B476" s="70" t="s">
        <v>863</v>
      </c>
      <c r="C476" s="88"/>
      <c r="D476" s="118">
        <f t="shared" si="23"/>
        <v>18.329999999999998</v>
      </c>
      <c r="E476" s="118">
        <f t="shared" si="14"/>
        <v>3.67</v>
      </c>
      <c r="F476" s="118">
        <v>22</v>
      </c>
      <c r="G476" s="83"/>
      <c r="H476" s="84"/>
      <c r="I476" s="84"/>
    </row>
    <row r="477" spans="1:9" customFormat="1" hidden="1" outlineLevel="2" x14ac:dyDescent="0.25">
      <c r="A477" s="447"/>
      <c r="B477" s="70" t="s">
        <v>864</v>
      </c>
      <c r="C477" s="88"/>
      <c r="D477" s="118">
        <f t="shared" si="23"/>
        <v>97.5</v>
      </c>
      <c r="E477" s="118">
        <f t="shared" si="14"/>
        <v>19.5</v>
      </c>
      <c r="F477" s="118">
        <v>117</v>
      </c>
      <c r="G477" s="83"/>
      <c r="H477" s="84"/>
      <c r="I477" s="84"/>
    </row>
    <row r="478" spans="1:9" customFormat="1" hidden="1" outlineLevel="1" x14ac:dyDescent="0.25">
      <c r="A478" s="144" t="s">
        <v>1266</v>
      </c>
      <c r="B478" s="70" t="s">
        <v>865</v>
      </c>
      <c r="C478" s="141" t="s">
        <v>543</v>
      </c>
      <c r="D478" s="118">
        <f t="shared" si="23"/>
        <v>317.5</v>
      </c>
      <c r="E478" s="118">
        <f t="shared" ref="E478:E516" si="24">ROUND(F478*$E$7/$F$7,2)</f>
        <v>63.5</v>
      </c>
      <c r="F478" s="118">
        <v>381</v>
      </c>
      <c r="G478" s="83"/>
      <c r="H478" s="84"/>
      <c r="I478" s="84"/>
    </row>
    <row r="479" spans="1:9" customFormat="1" hidden="1" outlineLevel="1" x14ac:dyDescent="0.25">
      <c r="A479" s="144" t="s">
        <v>1267</v>
      </c>
      <c r="B479" s="70" t="s">
        <v>866</v>
      </c>
      <c r="C479" s="141" t="s">
        <v>487</v>
      </c>
      <c r="D479" s="118">
        <f t="shared" si="23"/>
        <v>488.33</v>
      </c>
      <c r="E479" s="118">
        <f t="shared" si="24"/>
        <v>97.67</v>
      </c>
      <c r="F479" s="118">
        <v>586</v>
      </c>
      <c r="G479" s="83"/>
      <c r="H479" s="84"/>
      <c r="I479" s="84"/>
    </row>
    <row r="480" spans="1:9" customFormat="1" hidden="1" outlineLevel="1" x14ac:dyDescent="0.25">
      <c r="A480" s="144" t="s">
        <v>1268</v>
      </c>
      <c r="B480" s="70" t="s">
        <v>867</v>
      </c>
      <c r="C480" s="141" t="s">
        <v>487</v>
      </c>
      <c r="D480" s="118">
        <f t="shared" si="23"/>
        <v>48.33</v>
      </c>
      <c r="E480" s="118">
        <f t="shared" si="24"/>
        <v>9.67</v>
      </c>
      <c r="F480" s="118">
        <v>58</v>
      </c>
      <c r="G480" s="83"/>
      <c r="H480" s="84"/>
      <c r="I480" s="84"/>
    </row>
    <row r="481" spans="1:9" customFormat="1" hidden="1" outlineLevel="1" x14ac:dyDescent="0.25">
      <c r="A481" s="144" t="s">
        <v>1269</v>
      </c>
      <c r="B481" s="70" t="s">
        <v>868</v>
      </c>
      <c r="C481" s="141" t="s">
        <v>487</v>
      </c>
      <c r="D481" s="118">
        <f t="shared" si="23"/>
        <v>488.33</v>
      </c>
      <c r="E481" s="118">
        <f t="shared" si="24"/>
        <v>97.67</v>
      </c>
      <c r="F481" s="118">
        <v>586</v>
      </c>
      <c r="G481" s="83"/>
      <c r="H481" s="84"/>
      <c r="I481" s="84"/>
    </row>
    <row r="482" spans="1:9" customFormat="1" hidden="1" outlineLevel="1" x14ac:dyDescent="0.25">
      <c r="A482" s="144" t="s">
        <v>1270</v>
      </c>
      <c r="B482" s="70" t="s">
        <v>869</v>
      </c>
      <c r="C482" s="141" t="s">
        <v>487</v>
      </c>
      <c r="D482" s="118">
        <f t="shared" si="23"/>
        <v>439.17</v>
      </c>
      <c r="E482" s="118">
        <f t="shared" si="24"/>
        <v>87.83</v>
      </c>
      <c r="F482" s="118">
        <v>527</v>
      </c>
      <c r="G482" s="83"/>
      <c r="H482" s="84"/>
      <c r="I482" s="84"/>
    </row>
    <row r="483" spans="1:9" customFormat="1" hidden="1" outlineLevel="1" x14ac:dyDescent="0.25">
      <c r="A483" s="144" t="s">
        <v>1271</v>
      </c>
      <c r="B483" s="70" t="s">
        <v>870</v>
      </c>
      <c r="C483" s="141" t="s">
        <v>487</v>
      </c>
      <c r="D483" s="118">
        <f t="shared" si="23"/>
        <v>610</v>
      </c>
      <c r="E483" s="118">
        <f t="shared" si="24"/>
        <v>122</v>
      </c>
      <c r="F483" s="118">
        <v>732</v>
      </c>
      <c r="G483" s="83"/>
      <c r="H483" s="84"/>
      <c r="I483" s="84"/>
    </row>
    <row r="484" spans="1:9" customFormat="1" hidden="1" outlineLevel="1" x14ac:dyDescent="0.25">
      <c r="A484" s="144" t="s">
        <v>1272</v>
      </c>
      <c r="B484" s="70" t="s">
        <v>871</v>
      </c>
      <c r="C484" s="141" t="s">
        <v>487</v>
      </c>
      <c r="D484" s="118">
        <f t="shared" si="23"/>
        <v>365.83</v>
      </c>
      <c r="E484" s="118">
        <f t="shared" si="24"/>
        <v>73.17</v>
      </c>
      <c r="F484" s="118">
        <v>439</v>
      </c>
      <c r="G484" s="83"/>
      <c r="H484" s="84"/>
      <c r="I484" s="84"/>
    </row>
    <row r="485" spans="1:9" customFormat="1" hidden="1" outlineLevel="1" x14ac:dyDescent="0.25">
      <c r="A485" s="144" t="s">
        <v>1275</v>
      </c>
      <c r="B485" s="70" t="s">
        <v>872</v>
      </c>
      <c r="C485" s="141" t="s">
        <v>487</v>
      </c>
      <c r="D485" s="118">
        <f t="shared" si="23"/>
        <v>488.33</v>
      </c>
      <c r="E485" s="118">
        <f t="shared" si="24"/>
        <v>97.67</v>
      </c>
      <c r="F485" s="118">
        <v>586</v>
      </c>
      <c r="G485" s="83"/>
      <c r="H485" s="84"/>
      <c r="I485" s="84"/>
    </row>
    <row r="486" spans="1:9" customFormat="1" hidden="1" outlineLevel="1" x14ac:dyDescent="0.25">
      <c r="A486" s="144" t="s">
        <v>1276</v>
      </c>
      <c r="B486" s="70" t="s">
        <v>873</v>
      </c>
      <c r="C486" s="141" t="s">
        <v>487</v>
      </c>
      <c r="D486" s="118">
        <f t="shared" si="23"/>
        <v>731.67</v>
      </c>
      <c r="E486" s="118">
        <f t="shared" si="24"/>
        <v>146.33000000000001</v>
      </c>
      <c r="F486" s="118">
        <v>878</v>
      </c>
      <c r="G486" s="83"/>
      <c r="H486" s="84"/>
      <c r="I486" s="84"/>
    </row>
    <row r="487" spans="1:9" customFormat="1" hidden="1" outlineLevel="1" x14ac:dyDescent="0.25">
      <c r="A487" s="144" t="s">
        <v>1277</v>
      </c>
      <c r="B487" s="70" t="s">
        <v>874</v>
      </c>
      <c r="C487" s="141" t="s">
        <v>487</v>
      </c>
      <c r="D487" s="118">
        <f t="shared" ref="D487:D517" si="25">F487-E487</f>
        <v>1220</v>
      </c>
      <c r="E487" s="118">
        <f t="shared" si="24"/>
        <v>244</v>
      </c>
      <c r="F487" s="118">
        <v>1464</v>
      </c>
      <c r="G487" s="83"/>
      <c r="H487" s="84"/>
      <c r="I487" s="84"/>
    </row>
    <row r="488" spans="1:9" customFormat="1" hidden="1" outlineLevel="1" x14ac:dyDescent="0.25">
      <c r="A488" s="144" t="s">
        <v>1278</v>
      </c>
      <c r="B488" s="70" t="s">
        <v>875</v>
      </c>
      <c r="C488" s="141" t="s">
        <v>487</v>
      </c>
      <c r="D488" s="118">
        <f t="shared" si="25"/>
        <v>2196.67</v>
      </c>
      <c r="E488" s="118">
        <f t="shared" si="24"/>
        <v>439.33</v>
      </c>
      <c r="F488" s="118">
        <v>2636</v>
      </c>
      <c r="G488" s="83"/>
      <c r="H488" s="84"/>
      <c r="I488" s="84"/>
    </row>
    <row r="489" spans="1:9" customFormat="1" hidden="1" outlineLevel="1" x14ac:dyDescent="0.25">
      <c r="A489" s="144" t="s">
        <v>1279</v>
      </c>
      <c r="B489" s="70" t="s">
        <v>876</v>
      </c>
      <c r="C489" s="141" t="s">
        <v>487</v>
      </c>
      <c r="D489" s="118"/>
      <c r="E489" s="118"/>
      <c r="F489" s="118"/>
      <c r="G489" s="83"/>
      <c r="H489" s="84"/>
      <c r="I489" s="84"/>
    </row>
    <row r="490" spans="1:9" customFormat="1" hidden="1" outlineLevel="2" x14ac:dyDescent="0.25">
      <c r="A490" s="447"/>
      <c r="B490" s="70" t="s">
        <v>877</v>
      </c>
      <c r="C490" s="141"/>
      <c r="D490" s="118">
        <f t="shared" si="25"/>
        <v>307.5</v>
      </c>
      <c r="E490" s="118">
        <f t="shared" si="24"/>
        <v>61.5</v>
      </c>
      <c r="F490" s="118">
        <v>369</v>
      </c>
      <c r="G490" s="83"/>
      <c r="H490" s="84"/>
      <c r="I490" s="84"/>
    </row>
    <row r="491" spans="1:9" customFormat="1" hidden="1" outlineLevel="2" x14ac:dyDescent="0.25">
      <c r="A491" s="447"/>
      <c r="B491" s="70" t="s">
        <v>878</v>
      </c>
      <c r="C491" s="141"/>
      <c r="D491" s="118">
        <f t="shared" si="25"/>
        <v>130.82999999999998</v>
      </c>
      <c r="E491" s="118">
        <f t="shared" si="24"/>
        <v>26.17</v>
      </c>
      <c r="F491" s="118">
        <v>157</v>
      </c>
      <c r="G491" s="83"/>
      <c r="H491" s="84"/>
      <c r="I491" s="84"/>
    </row>
    <row r="492" spans="1:9" customFormat="1" hidden="1" outlineLevel="1" x14ac:dyDescent="0.25">
      <c r="A492" s="144" t="s">
        <v>1280</v>
      </c>
      <c r="B492" s="70" t="s">
        <v>879</v>
      </c>
      <c r="C492" s="141" t="s">
        <v>487</v>
      </c>
      <c r="D492" s="118"/>
      <c r="E492" s="118"/>
      <c r="F492" s="118"/>
      <c r="G492" s="83"/>
      <c r="H492" s="84"/>
      <c r="I492" s="84"/>
    </row>
    <row r="493" spans="1:9" customFormat="1" hidden="1" outlineLevel="2" x14ac:dyDescent="0.25">
      <c r="A493" s="447"/>
      <c r="B493" s="70" t="s">
        <v>877</v>
      </c>
      <c r="C493" s="141"/>
      <c r="D493" s="118">
        <f t="shared" si="25"/>
        <v>162.5</v>
      </c>
      <c r="E493" s="118">
        <f t="shared" si="24"/>
        <v>32.5</v>
      </c>
      <c r="F493" s="118">
        <v>195</v>
      </c>
      <c r="G493" s="83"/>
      <c r="H493" s="84"/>
      <c r="I493" s="84"/>
    </row>
    <row r="494" spans="1:9" customFormat="1" hidden="1" outlineLevel="2" x14ac:dyDescent="0.25">
      <c r="A494" s="447"/>
      <c r="B494" s="70" t="s">
        <v>878</v>
      </c>
      <c r="C494" s="141"/>
      <c r="D494" s="118">
        <f t="shared" si="25"/>
        <v>45</v>
      </c>
      <c r="E494" s="118">
        <f t="shared" si="24"/>
        <v>9</v>
      </c>
      <c r="F494" s="118">
        <v>54</v>
      </c>
      <c r="G494" s="83"/>
      <c r="H494" s="84"/>
      <c r="I494" s="84"/>
    </row>
    <row r="495" spans="1:9" customFormat="1" hidden="1" outlineLevel="2" x14ac:dyDescent="0.25">
      <c r="A495" s="447"/>
      <c r="B495" s="70" t="s">
        <v>880</v>
      </c>
      <c r="C495" s="141"/>
      <c r="D495" s="118">
        <f t="shared" si="25"/>
        <v>22.5</v>
      </c>
      <c r="E495" s="118">
        <f t="shared" si="24"/>
        <v>4.5</v>
      </c>
      <c r="F495" s="118">
        <v>27</v>
      </c>
      <c r="G495" s="83"/>
      <c r="H495" s="84"/>
      <c r="I495" s="84"/>
    </row>
    <row r="496" spans="1:9" customFormat="1" ht="31.5" hidden="1" outlineLevel="1" x14ac:dyDescent="0.25">
      <c r="A496" s="144" t="s">
        <v>1281</v>
      </c>
      <c r="B496" s="70" t="s">
        <v>881</v>
      </c>
      <c r="C496" s="141" t="s">
        <v>766</v>
      </c>
      <c r="D496" s="118"/>
      <c r="E496" s="118"/>
      <c r="F496" s="118"/>
      <c r="G496" s="83"/>
      <c r="H496" s="84"/>
      <c r="I496" s="84"/>
    </row>
    <row r="497" spans="1:9" customFormat="1" hidden="1" outlineLevel="2" x14ac:dyDescent="0.25">
      <c r="A497" s="442"/>
      <c r="B497" s="70" t="s">
        <v>882</v>
      </c>
      <c r="C497" s="141"/>
      <c r="D497" s="118">
        <f t="shared" si="25"/>
        <v>1098.33</v>
      </c>
      <c r="E497" s="118">
        <f t="shared" si="24"/>
        <v>219.67</v>
      </c>
      <c r="F497" s="118">
        <v>1318</v>
      </c>
      <c r="G497" s="83"/>
      <c r="H497" s="84"/>
      <c r="I497" s="84"/>
    </row>
    <row r="498" spans="1:9" customFormat="1" hidden="1" outlineLevel="2" x14ac:dyDescent="0.25">
      <c r="A498" s="443"/>
      <c r="B498" s="70" t="s">
        <v>825</v>
      </c>
      <c r="C498" s="141"/>
      <c r="D498" s="118">
        <f t="shared" si="25"/>
        <v>225.82999999999998</v>
      </c>
      <c r="E498" s="118">
        <f t="shared" si="24"/>
        <v>45.17</v>
      </c>
      <c r="F498" s="118">
        <v>271</v>
      </c>
      <c r="G498" s="83"/>
      <c r="H498" s="84"/>
      <c r="I498" s="84"/>
    </row>
    <row r="499" spans="1:9" customFormat="1" hidden="1" outlineLevel="2" x14ac:dyDescent="0.25">
      <c r="A499" s="443"/>
      <c r="B499" s="70" t="s">
        <v>826</v>
      </c>
      <c r="C499" s="141"/>
      <c r="D499" s="118">
        <f t="shared" si="25"/>
        <v>225.82999999999998</v>
      </c>
      <c r="E499" s="118">
        <f t="shared" si="24"/>
        <v>45.17</v>
      </c>
      <c r="F499" s="118">
        <v>271</v>
      </c>
      <c r="G499" s="83"/>
      <c r="H499" s="84"/>
      <c r="I499" s="84"/>
    </row>
    <row r="500" spans="1:9" customFormat="1" hidden="1" outlineLevel="2" x14ac:dyDescent="0.25">
      <c r="A500" s="443"/>
      <c r="B500" s="70" t="s">
        <v>880</v>
      </c>
      <c r="C500" s="88"/>
      <c r="D500" s="118">
        <f t="shared" si="25"/>
        <v>36.67</v>
      </c>
      <c r="E500" s="118">
        <f t="shared" si="24"/>
        <v>7.33</v>
      </c>
      <c r="F500" s="118">
        <v>44</v>
      </c>
      <c r="G500" s="83"/>
      <c r="H500" s="84"/>
      <c r="I500" s="84"/>
    </row>
    <row r="501" spans="1:9" customFormat="1" hidden="1" outlineLevel="2" x14ac:dyDescent="0.25">
      <c r="A501" s="444"/>
      <c r="B501" s="70" t="s">
        <v>883</v>
      </c>
      <c r="C501" s="141"/>
      <c r="D501" s="118">
        <f t="shared" si="25"/>
        <v>731.67</v>
      </c>
      <c r="E501" s="118">
        <f t="shared" si="24"/>
        <v>146.33000000000001</v>
      </c>
      <c r="F501" s="118">
        <v>878</v>
      </c>
      <c r="G501" s="83"/>
      <c r="H501" s="84"/>
      <c r="I501" s="84"/>
    </row>
    <row r="502" spans="1:9" customFormat="1" hidden="1" outlineLevel="1" x14ac:dyDescent="0.25">
      <c r="A502" s="144" t="s">
        <v>1282</v>
      </c>
      <c r="B502" s="70" t="s">
        <v>884</v>
      </c>
      <c r="C502" s="141" t="s">
        <v>604</v>
      </c>
      <c r="D502" s="118"/>
      <c r="E502" s="118"/>
      <c r="F502" s="118"/>
      <c r="G502" s="83"/>
      <c r="H502" s="84"/>
      <c r="I502" s="84"/>
    </row>
    <row r="503" spans="1:9" customFormat="1" hidden="1" outlineLevel="2" x14ac:dyDescent="0.25">
      <c r="A503" s="447"/>
      <c r="B503" s="70" t="s">
        <v>885</v>
      </c>
      <c r="C503" s="141"/>
      <c r="D503" s="118">
        <f t="shared" si="25"/>
        <v>270.83</v>
      </c>
      <c r="E503" s="118">
        <f t="shared" si="24"/>
        <v>54.17</v>
      </c>
      <c r="F503" s="118">
        <v>325</v>
      </c>
      <c r="G503" s="83"/>
      <c r="H503" s="84"/>
      <c r="I503" s="84"/>
    </row>
    <row r="504" spans="1:9" customFormat="1" hidden="1" outlineLevel="2" x14ac:dyDescent="0.25">
      <c r="A504" s="447"/>
      <c r="B504" s="70" t="s">
        <v>886</v>
      </c>
      <c r="C504" s="88"/>
      <c r="D504" s="118">
        <f t="shared" si="25"/>
        <v>451.67</v>
      </c>
      <c r="E504" s="118">
        <f t="shared" si="24"/>
        <v>90.33</v>
      </c>
      <c r="F504" s="118">
        <v>542</v>
      </c>
      <c r="G504" s="83"/>
      <c r="H504" s="84"/>
      <c r="I504" s="84"/>
    </row>
    <row r="505" spans="1:9" customFormat="1" hidden="1" outlineLevel="2" x14ac:dyDescent="0.25">
      <c r="A505" s="447"/>
      <c r="B505" s="70" t="s">
        <v>887</v>
      </c>
      <c r="C505" s="88"/>
      <c r="D505" s="118">
        <f t="shared" si="25"/>
        <v>632.5</v>
      </c>
      <c r="E505" s="118">
        <f t="shared" si="24"/>
        <v>126.5</v>
      </c>
      <c r="F505" s="118">
        <v>759</v>
      </c>
      <c r="G505" s="83"/>
      <c r="H505" s="84"/>
      <c r="I505" s="84"/>
    </row>
    <row r="506" spans="1:9" customFormat="1" hidden="1" outlineLevel="2" x14ac:dyDescent="0.25">
      <c r="A506" s="447"/>
      <c r="B506" s="70" t="s">
        <v>888</v>
      </c>
      <c r="C506" s="88"/>
      <c r="D506" s="118">
        <f t="shared" si="25"/>
        <v>1355.83</v>
      </c>
      <c r="E506" s="118">
        <f t="shared" si="24"/>
        <v>271.17</v>
      </c>
      <c r="F506" s="118">
        <v>1627</v>
      </c>
      <c r="G506" s="83"/>
      <c r="H506" s="84"/>
      <c r="I506" s="84"/>
    </row>
    <row r="507" spans="1:9" customFormat="1" hidden="1" outlineLevel="1" x14ac:dyDescent="0.25">
      <c r="A507" s="144" t="s">
        <v>1283</v>
      </c>
      <c r="B507" s="70" t="s">
        <v>889</v>
      </c>
      <c r="C507" s="141" t="s">
        <v>890</v>
      </c>
      <c r="D507" s="118">
        <f t="shared" si="25"/>
        <v>135.82999999999998</v>
      </c>
      <c r="E507" s="118">
        <f t="shared" si="24"/>
        <v>27.17</v>
      </c>
      <c r="F507" s="118">
        <v>163</v>
      </c>
      <c r="G507" s="83"/>
      <c r="H507" s="84"/>
      <c r="I507" s="84"/>
    </row>
    <row r="508" spans="1:9" customFormat="1" ht="47.25" hidden="1" outlineLevel="1" x14ac:dyDescent="0.25">
      <c r="A508" s="144" t="s">
        <v>1284</v>
      </c>
      <c r="B508" s="70" t="s">
        <v>891</v>
      </c>
      <c r="C508" s="141" t="s">
        <v>418</v>
      </c>
      <c r="D508" s="118"/>
      <c r="E508" s="118"/>
      <c r="F508" s="118"/>
      <c r="G508" s="83"/>
      <c r="H508" s="84"/>
      <c r="I508" s="84"/>
    </row>
    <row r="509" spans="1:9" customFormat="1" hidden="1" outlineLevel="2" x14ac:dyDescent="0.25">
      <c r="A509" s="447"/>
      <c r="B509" s="70" t="s">
        <v>892</v>
      </c>
      <c r="C509" s="141"/>
      <c r="D509" s="118">
        <f t="shared" si="25"/>
        <v>365.83</v>
      </c>
      <c r="E509" s="118">
        <f t="shared" si="24"/>
        <v>73.17</v>
      </c>
      <c r="F509" s="118">
        <v>439</v>
      </c>
      <c r="G509" s="83"/>
      <c r="H509" s="84"/>
      <c r="I509" s="84"/>
    </row>
    <row r="510" spans="1:9" customFormat="1" hidden="1" outlineLevel="2" x14ac:dyDescent="0.25">
      <c r="A510" s="447"/>
      <c r="B510" s="70" t="s">
        <v>893</v>
      </c>
      <c r="C510" s="141"/>
      <c r="D510" s="118">
        <f t="shared" si="25"/>
        <v>48.33</v>
      </c>
      <c r="E510" s="118">
        <f t="shared" si="24"/>
        <v>9.67</v>
      </c>
      <c r="F510" s="118">
        <v>58</v>
      </c>
      <c r="G510" s="83"/>
      <c r="H510" s="84"/>
      <c r="I510" s="84"/>
    </row>
    <row r="511" spans="1:9" customFormat="1" hidden="1" outlineLevel="1" x14ac:dyDescent="0.25">
      <c r="A511" s="144" t="s">
        <v>1285</v>
      </c>
      <c r="B511" s="70" t="s">
        <v>894</v>
      </c>
      <c r="C511" s="141" t="s">
        <v>487</v>
      </c>
      <c r="D511" s="118">
        <f t="shared" si="25"/>
        <v>451.67</v>
      </c>
      <c r="E511" s="118">
        <f t="shared" si="24"/>
        <v>90.33</v>
      </c>
      <c r="F511" s="118">
        <v>542</v>
      </c>
      <c r="G511" s="83"/>
      <c r="H511" s="84"/>
      <c r="I511" s="84"/>
    </row>
    <row r="512" spans="1:9" customFormat="1" hidden="1" outlineLevel="1" x14ac:dyDescent="0.25">
      <c r="A512" s="144" t="s">
        <v>1286</v>
      </c>
      <c r="B512" s="70" t="s">
        <v>895</v>
      </c>
      <c r="C512" s="141" t="s">
        <v>487</v>
      </c>
      <c r="D512" s="118">
        <f t="shared" si="25"/>
        <v>144.17000000000002</v>
      </c>
      <c r="E512" s="118">
        <f t="shared" si="24"/>
        <v>28.83</v>
      </c>
      <c r="F512" s="118">
        <v>173</v>
      </c>
      <c r="G512" s="83"/>
      <c r="H512" s="84"/>
      <c r="I512" s="84"/>
    </row>
    <row r="513" spans="1:11" customFormat="1" hidden="1" outlineLevel="1" x14ac:dyDescent="0.25">
      <c r="A513" s="144" t="s">
        <v>1287</v>
      </c>
      <c r="B513" s="70" t="s">
        <v>896</v>
      </c>
      <c r="C513" s="141" t="s">
        <v>6</v>
      </c>
      <c r="D513" s="118">
        <f t="shared" si="25"/>
        <v>40</v>
      </c>
      <c r="E513" s="118">
        <f t="shared" si="24"/>
        <v>8</v>
      </c>
      <c r="F513" s="118">
        <v>48</v>
      </c>
      <c r="G513" s="83"/>
      <c r="H513" s="84"/>
      <c r="I513" s="84"/>
    </row>
    <row r="514" spans="1:11" customFormat="1" hidden="1" outlineLevel="1" x14ac:dyDescent="0.25">
      <c r="A514" s="144" t="s">
        <v>1288</v>
      </c>
      <c r="B514" s="70" t="s">
        <v>897</v>
      </c>
      <c r="C514" s="141" t="s">
        <v>487</v>
      </c>
      <c r="D514" s="118">
        <f t="shared" si="25"/>
        <v>166.67000000000002</v>
      </c>
      <c r="E514" s="118">
        <f t="shared" si="24"/>
        <v>33.33</v>
      </c>
      <c r="F514" s="118">
        <v>200</v>
      </c>
      <c r="G514" s="83"/>
      <c r="H514" s="84"/>
      <c r="I514" s="84"/>
    </row>
    <row r="515" spans="1:11" customFormat="1" hidden="1" outlineLevel="1" x14ac:dyDescent="0.25">
      <c r="A515" s="144" t="s">
        <v>1289</v>
      </c>
      <c r="B515" s="70" t="s">
        <v>898</v>
      </c>
      <c r="C515" s="141" t="s">
        <v>487</v>
      </c>
      <c r="D515" s="118">
        <f t="shared" si="25"/>
        <v>84.17</v>
      </c>
      <c r="E515" s="118">
        <f t="shared" si="24"/>
        <v>16.829999999999998</v>
      </c>
      <c r="F515" s="118">
        <v>101</v>
      </c>
      <c r="G515" s="83"/>
      <c r="H515" s="84"/>
      <c r="I515" s="84"/>
    </row>
    <row r="516" spans="1:11" customFormat="1" hidden="1" outlineLevel="1" x14ac:dyDescent="0.25">
      <c r="A516" s="144" t="s">
        <v>1290</v>
      </c>
      <c r="B516" s="70" t="s">
        <v>899</v>
      </c>
      <c r="C516" s="141" t="s">
        <v>487</v>
      </c>
      <c r="D516" s="118">
        <f t="shared" si="25"/>
        <v>250</v>
      </c>
      <c r="E516" s="118">
        <f t="shared" si="24"/>
        <v>50</v>
      </c>
      <c r="F516" s="118">
        <v>300</v>
      </c>
      <c r="G516" s="83"/>
      <c r="H516" s="84"/>
      <c r="I516" s="84"/>
    </row>
    <row r="517" spans="1:11" customFormat="1" hidden="1" outlineLevel="1" x14ac:dyDescent="0.25">
      <c r="A517" s="144" t="s">
        <v>1291</v>
      </c>
      <c r="B517" s="70" t="s">
        <v>900</v>
      </c>
      <c r="C517" s="141" t="s">
        <v>487</v>
      </c>
      <c r="D517" s="118">
        <f t="shared" si="25"/>
        <v>1895</v>
      </c>
      <c r="E517" s="118">
        <f>ROUND(F517*$E$7/$F$7,2)</f>
        <v>379</v>
      </c>
      <c r="F517" s="123">
        <v>2274</v>
      </c>
      <c r="G517" s="83"/>
      <c r="H517" s="84"/>
      <c r="I517" s="84"/>
    </row>
    <row r="518" spans="1:11" customFormat="1" ht="18.75" hidden="1" x14ac:dyDescent="0.25">
      <c r="A518" s="392" t="s">
        <v>1385</v>
      </c>
      <c r="B518" s="393"/>
      <c r="C518" s="393"/>
      <c r="D518" s="393"/>
      <c r="E518" s="393"/>
      <c r="F518" s="394"/>
      <c r="G518" s="83"/>
      <c r="H518" s="84"/>
      <c r="I518" s="83"/>
      <c r="J518" s="84"/>
      <c r="K518" s="84"/>
    </row>
    <row r="519" spans="1:11" customFormat="1" hidden="1" outlineLevel="1" x14ac:dyDescent="0.25">
      <c r="A519" s="144" t="s">
        <v>1231</v>
      </c>
      <c r="B519" s="70" t="s">
        <v>901</v>
      </c>
      <c r="C519" s="141" t="s">
        <v>902</v>
      </c>
      <c r="D519" s="118"/>
      <c r="E519" s="118"/>
      <c r="F519" s="123"/>
      <c r="G519" s="83"/>
      <c r="H519" s="84"/>
      <c r="I519" s="84"/>
    </row>
    <row r="520" spans="1:11" customFormat="1" hidden="1" outlineLevel="2" x14ac:dyDescent="0.25">
      <c r="A520" s="447"/>
      <c r="B520" s="70" t="s">
        <v>903</v>
      </c>
      <c r="C520" s="141"/>
      <c r="D520" s="118">
        <f t="shared" ref="D520:D550" si="26">F520-E520</f>
        <v>244.17000000000002</v>
      </c>
      <c r="E520" s="118">
        <f t="shared" ref="E520:E583" si="27">ROUND(F520*$E$7/$F$7,2)</f>
        <v>48.83</v>
      </c>
      <c r="F520" s="123">
        <v>293</v>
      </c>
      <c r="G520" s="83"/>
      <c r="H520" s="84"/>
      <c r="I520" s="84"/>
    </row>
    <row r="521" spans="1:11" customFormat="1" hidden="1" outlineLevel="2" x14ac:dyDescent="0.25">
      <c r="A521" s="447"/>
      <c r="B521" s="70" t="s">
        <v>904</v>
      </c>
      <c r="C521" s="141"/>
      <c r="D521" s="118">
        <f t="shared" si="26"/>
        <v>365.83</v>
      </c>
      <c r="E521" s="118">
        <f t="shared" si="27"/>
        <v>73.17</v>
      </c>
      <c r="F521" s="123">
        <v>439</v>
      </c>
      <c r="G521" s="83"/>
      <c r="H521" s="84"/>
      <c r="I521" s="84"/>
    </row>
    <row r="522" spans="1:11" customFormat="1" hidden="1" outlineLevel="2" x14ac:dyDescent="0.25">
      <c r="A522" s="447"/>
      <c r="B522" s="70" t="s">
        <v>905</v>
      </c>
      <c r="C522" s="141"/>
      <c r="D522" s="118">
        <f t="shared" si="26"/>
        <v>292.5</v>
      </c>
      <c r="E522" s="118">
        <f t="shared" si="27"/>
        <v>58.5</v>
      </c>
      <c r="F522" s="123">
        <v>351</v>
      </c>
      <c r="G522" s="83"/>
      <c r="H522" s="84"/>
      <c r="I522" s="84"/>
    </row>
    <row r="523" spans="1:11" customFormat="1" hidden="1" outlineLevel="2" x14ac:dyDescent="0.25">
      <c r="A523" s="447"/>
      <c r="B523" s="70" t="s">
        <v>906</v>
      </c>
      <c r="C523" s="141"/>
      <c r="D523" s="118">
        <f t="shared" si="26"/>
        <v>244.17000000000002</v>
      </c>
      <c r="E523" s="118">
        <f t="shared" si="27"/>
        <v>48.83</v>
      </c>
      <c r="F523" s="123">
        <v>293</v>
      </c>
      <c r="G523" s="83"/>
      <c r="H523" s="84"/>
      <c r="I523" s="84"/>
    </row>
    <row r="524" spans="1:11" customFormat="1" ht="31.5" hidden="1" outlineLevel="1" x14ac:dyDescent="0.25">
      <c r="A524" s="144" t="s">
        <v>1232</v>
      </c>
      <c r="B524" s="70" t="s">
        <v>907</v>
      </c>
      <c r="C524" s="141" t="s">
        <v>902</v>
      </c>
      <c r="D524" s="118">
        <f t="shared" si="26"/>
        <v>975.83</v>
      </c>
      <c r="E524" s="118">
        <f t="shared" si="27"/>
        <v>195.17</v>
      </c>
      <c r="F524" s="123">
        <v>1171</v>
      </c>
      <c r="G524" s="83"/>
      <c r="H524" s="84"/>
      <c r="I524" s="84"/>
    </row>
    <row r="525" spans="1:11" customFormat="1" ht="47.25" hidden="1" outlineLevel="1" x14ac:dyDescent="0.25">
      <c r="A525" s="144" t="s">
        <v>1233</v>
      </c>
      <c r="B525" s="70" t="s">
        <v>1463</v>
      </c>
      <c r="C525" s="141" t="s">
        <v>908</v>
      </c>
      <c r="D525" s="118"/>
      <c r="E525" s="118"/>
      <c r="F525" s="123"/>
      <c r="G525" s="83"/>
      <c r="H525" s="84"/>
      <c r="I525" s="84"/>
    </row>
    <row r="526" spans="1:11" customFormat="1" hidden="1" outlineLevel="2" x14ac:dyDescent="0.25">
      <c r="A526" s="447"/>
      <c r="B526" s="70" t="s">
        <v>909</v>
      </c>
      <c r="C526" s="141"/>
      <c r="D526" s="118">
        <f t="shared" si="26"/>
        <v>22.5</v>
      </c>
      <c r="E526" s="118">
        <f t="shared" si="27"/>
        <v>4.5</v>
      </c>
      <c r="F526" s="123">
        <v>27</v>
      </c>
      <c r="G526" s="83"/>
      <c r="H526" s="84"/>
      <c r="I526" s="84"/>
    </row>
    <row r="527" spans="1:11" customFormat="1" hidden="1" outlineLevel="2" x14ac:dyDescent="0.25">
      <c r="A527" s="447"/>
      <c r="B527" s="70" t="s">
        <v>910</v>
      </c>
      <c r="C527" s="141"/>
      <c r="D527" s="118">
        <f t="shared" si="26"/>
        <v>21.67</v>
      </c>
      <c r="E527" s="118">
        <f t="shared" si="27"/>
        <v>4.33</v>
      </c>
      <c r="F527" s="123">
        <v>26</v>
      </c>
      <c r="G527" s="83"/>
      <c r="H527" s="84"/>
      <c r="I527" s="84"/>
    </row>
    <row r="528" spans="1:11" customFormat="1" hidden="1" outlineLevel="2" x14ac:dyDescent="0.25">
      <c r="A528" s="447"/>
      <c r="B528" s="70" t="s">
        <v>911</v>
      </c>
      <c r="C528" s="141"/>
      <c r="D528" s="118">
        <f t="shared" si="26"/>
        <v>20.83</v>
      </c>
      <c r="E528" s="118">
        <f t="shared" si="27"/>
        <v>4.17</v>
      </c>
      <c r="F528" s="123">
        <v>25</v>
      </c>
      <c r="G528" s="83"/>
      <c r="H528" s="84"/>
      <c r="I528" s="84"/>
    </row>
    <row r="529" spans="1:9" customFormat="1" hidden="1" outlineLevel="2" x14ac:dyDescent="0.25">
      <c r="A529" s="447"/>
      <c r="B529" s="70" t="s">
        <v>912</v>
      </c>
      <c r="C529" s="141"/>
      <c r="D529" s="118">
        <f t="shared" si="26"/>
        <v>20</v>
      </c>
      <c r="E529" s="118">
        <f t="shared" si="27"/>
        <v>4</v>
      </c>
      <c r="F529" s="123">
        <v>24</v>
      </c>
      <c r="G529" s="83"/>
      <c r="H529" s="84"/>
      <c r="I529" s="84"/>
    </row>
    <row r="530" spans="1:9" customFormat="1" hidden="1" outlineLevel="2" x14ac:dyDescent="0.25">
      <c r="A530" s="447"/>
      <c r="B530" s="70" t="s">
        <v>913</v>
      </c>
      <c r="C530" s="141"/>
      <c r="D530" s="118">
        <f t="shared" si="26"/>
        <v>19.170000000000002</v>
      </c>
      <c r="E530" s="118">
        <f t="shared" si="27"/>
        <v>3.83</v>
      </c>
      <c r="F530" s="123">
        <v>23</v>
      </c>
      <c r="G530" s="83"/>
      <c r="H530" s="84"/>
      <c r="I530" s="84"/>
    </row>
    <row r="531" spans="1:9" customFormat="1" hidden="1" outlineLevel="2" x14ac:dyDescent="0.25">
      <c r="A531" s="447"/>
      <c r="B531" s="70" t="s">
        <v>914</v>
      </c>
      <c r="C531" s="141"/>
      <c r="D531" s="118">
        <f t="shared" si="26"/>
        <v>18.329999999999998</v>
      </c>
      <c r="E531" s="118">
        <f t="shared" si="27"/>
        <v>3.67</v>
      </c>
      <c r="F531" s="123">
        <v>22</v>
      </c>
      <c r="G531" s="83"/>
      <c r="H531" s="84"/>
      <c r="I531" s="84"/>
    </row>
    <row r="532" spans="1:9" customFormat="1" hidden="1" outlineLevel="2" x14ac:dyDescent="0.25">
      <c r="A532" s="447"/>
      <c r="B532" s="70" t="s">
        <v>915</v>
      </c>
      <c r="C532" s="141"/>
      <c r="D532" s="118">
        <f t="shared" si="26"/>
        <v>4.17</v>
      </c>
      <c r="E532" s="118">
        <f t="shared" si="27"/>
        <v>0.83</v>
      </c>
      <c r="F532" s="123">
        <v>5</v>
      </c>
      <c r="G532" s="83"/>
      <c r="H532" s="84"/>
      <c r="I532" s="84"/>
    </row>
    <row r="533" spans="1:9" customFormat="1" hidden="1" outlineLevel="2" x14ac:dyDescent="0.25">
      <c r="A533" s="447"/>
      <c r="B533" s="70" t="s">
        <v>916</v>
      </c>
      <c r="C533" s="141"/>
      <c r="D533" s="118">
        <f t="shared" si="26"/>
        <v>22.5</v>
      </c>
      <c r="E533" s="118">
        <f t="shared" si="27"/>
        <v>4.5</v>
      </c>
      <c r="F533" s="123">
        <v>27</v>
      </c>
      <c r="G533" s="83"/>
      <c r="H533" s="84"/>
      <c r="I533" s="84"/>
    </row>
    <row r="534" spans="1:9" customFormat="1" hidden="1" outlineLevel="1" x14ac:dyDescent="0.25">
      <c r="A534" s="144" t="s">
        <v>1234</v>
      </c>
      <c r="B534" s="70" t="s">
        <v>1462</v>
      </c>
      <c r="C534" s="141" t="s">
        <v>6</v>
      </c>
      <c r="D534" s="118"/>
      <c r="E534" s="118"/>
      <c r="F534" s="123"/>
      <c r="G534" s="83"/>
      <c r="H534" s="84"/>
      <c r="I534" s="84"/>
    </row>
    <row r="535" spans="1:9" customFormat="1" hidden="1" outlineLevel="2" x14ac:dyDescent="0.25">
      <c r="A535" s="449"/>
      <c r="B535" s="70" t="s">
        <v>917</v>
      </c>
      <c r="C535" s="141"/>
      <c r="D535" s="118">
        <f t="shared" si="26"/>
        <v>87.5</v>
      </c>
      <c r="E535" s="118">
        <f t="shared" si="27"/>
        <v>17.5</v>
      </c>
      <c r="F535" s="123">
        <v>105</v>
      </c>
      <c r="G535" s="83"/>
      <c r="H535" s="84"/>
      <c r="I535" s="84"/>
    </row>
    <row r="536" spans="1:9" customFormat="1" hidden="1" outlineLevel="2" x14ac:dyDescent="0.25">
      <c r="A536" s="449"/>
      <c r="B536" s="70" t="s">
        <v>918</v>
      </c>
      <c r="C536" s="141"/>
      <c r="D536" s="118">
        <f t="shared" si="26"/>
        <v>145.82999999999998</v>
      </c>
      <c r="E536" s="118">
        <f t="shared" si="27"/>
        <v>29.17</v>
      </c>
      <c r="F536" s="123">
        <v>175</v>
      </c>
      <c r="G536" s="83"/>
      <c r="H536" s="84"/>
      <c r="I536" s="84"/>
    </row>
    <row r="537" spans="1:9" customFormat="1" hidden="1" outlineLevel="2" x14ac:dyDescent="0.25">
      <c r="A537" s="449"/>
      <c r="B537" s="70" t="s">
        <v>919</v>
      </c>
      <c r="C537" s="141"/>
      <c r="D537" s="118">
        <f t="shared" si="26"/>
        <v>110</v>
      </c>
      <c r="E537" s="118">
        <f t="shared" si="27"/>
        <v>22</v>
      </c>
      <c r="F537" s="123">
        <v>132</v>
      </c>
      <c r="G537" s="83"/>
      <c r="H537" s="84"/>
      <c r="I537" s="84"/>
    </row>
    <row r="538" spans="1:9" customFormat="1" hidden="1" outlineLevel="2" x14ac:dyDescent="0.25">
      <c r="A538" s="449"/>
      <c r="B538" s="70" t="s">
        <v>920</v>
      </c>
      <c r="C538" s="141"/>
      <c r="D538" s="118">
        <f t="shared" si="26"/>
        <v>140.82999999999998</v>
      </c>
      <c r="E538" s="118">
        <f t="shared" si="27"/>
        <v>28.17</v>
      </c>
      <c r="F538" s="123">
        <v>169</v>
      </c>
      <c r="G538" s="83"/>
      <c r="H538" s="84"/>
      <c r="I538" s="84"/>
    </row>
    <row r="539" spans="1:9" customFormat="1" hidden="1" outlineLevel="2" x14ac:dyDescent="0.25">
      <c r="A539" s="449"/>
      <c r="B539" s="70" t="s">
        <v>921</v>
      </c>
      <c r="C539" s="141"/>
      <c r="D539" s="118">
        <f t="shared" si="26"/>
        <v>200.82999999999998</v>
      </c>
      <c r="E539" s="118">
        <f t="shared" si="27"/>
        <v>40.17</v>
      </c>
      <c r="F539" s="123">
        <v>241</v>
      </c>
      <c r="G539" s="83"/>
      <c r="H539" s="84"/>
      <c r="I539" s="84"/>
    </row>
    <row r="540" spans="1:9" customFormat="1" hidden="1" outlineLevel="2" x14ac:dyDescent="0.25">
      <c r="A540" s="449"/>
      <c r="B540" s="70" t="s">
        <v>922</v>
      </c>
      <c r="C540" s="141"/>
      <c r="D540" s="118">
        <f t="shared" si="26"/>
        <v>157.5</v>
      </c>
      <c r="E540" s="118">
        <f t="shared" si="27"/>
        <v>31.5</v>
      </c>
      <c r="F540" s="123">
        <v>189</v>
      </c>
      <c r="G540" s="83"/>
      <c r="H540" s="84"/>
      <c r="I540" s="84"/>
    </row>
    <row r="541" spans="1:9" customFormat="1" hidden="1" outlineLevel="2" x14ac:dyDescent="0.25">
      <c r="A541" s="449"/>
      <c r="B541" s="70" t="s">
        <v>923</v>
      </c>
      <c r="C541" s="141"/>
      <c r="D541" s="118">
        <f t="shared" si="26"/>
        <v>214.17000000000002</v>
      </c>
      <c r="E541" s="118">
        <f t="shared" si="27"/>
        <v>42.83</v>
      </c>
      <c r="F541" s="123">
        <v>257</v>
      </c>
      <c r="G541" s="83"/>
      <c r="H541" s="84"/>
      <c r="I541" s="84"/>
    </row>
    <row r="542" spans="1:9" customFormat="1" ht="31.5" hidden="1" outlineLevel="1" x14ac:dyDescent="0.25">
      <c r="A542" s="144" t="s">
        <v>1235</v>
      </c>
      <c r="B542" s="70" t="s">
        <v>924</v>
      </c>
      <c r="C542" s="141" t="s">
        <v>925</v>
      </c>
      <c r="D542" s="118">
        <f t="shared" si="26"/>
        <v>97.5</v>
      </c>
      <c r="E542" s="118">
        <f t="shared" si="27"/>
        <v>19.5</v>
      </c>
      <c r="F542" s="123">
        <v>117</v>
      </c>
      <c r="G542" s="83"/>
      <c r="H542" s="84"/>
      <c r="I542" s="84"/>
    </row>
    <row r="543" spans="1:9" customFormat="1" ht="31.5" hidden="1" outlineLevel="1" x14ac:dyDescent="0.25">
      <c r="A543" s="144" t="s">
        <v>1236</v>
      </c>
      <c r="B543" s="70" t="s">
        <v>924</v>
      </c>
      <c r="C543" s="141" t="s">
        <v>926</v>
      </c>
      <c r="D543" s="118">
        <f t="shared" si="26"/>
        <v>121.67</v>
      </c>
      <c r="E543" s="118">
        <f t="shared" si="27"/>
        <v>24.33</v>
      </c>
      <c r="F543" s="123">
        <v>146</v>
      </c>
      <c r="G543" s="83"/>
      <c r="H543" s="84"/>
      <c r="I543" s="84"/>
    </row>
    <row r="544" spans="1:9" customFormat="1" ht="31.5" hidden="1" outlineLevel="1" x14ac:dyDescent="0.25">
      <c r="A544" s="144" t="s">
        <v>1237</v>
      </c>
      <c r="B544" s="70" t="s">
        <v>924</v>
      </c>
      <c r="C544" s="141" t="s">
        <v>927</v>
      </c>
      <c r="D544" s="118">
        <f t="shared" si="26"/>
        <v>145.82999999999998</v>
      </c>
      <c r="E544" s="118">
        <f t="shared" si="27"/>
        <v>29.17</v>
      </c>
      <c r="F544" s="123">
        <v>175</v>
      </c>
      <c r="G544" s="83"/>
      <c r="H544" s="84"/>
      <c r="I544" s="84"/>
    </row>
    <row r="545" spans="1:11" customFormat="1" ht="31.5" hidden="1" outlineLevel="1" x14ac:dyDescent="0.25">
      <c r="A545" s="144" t="s">
        <v>1238</v>
      </c>
      <c r="B545" s="70" t="s">
        <v>928</v>
      </c>
      <c r="C545" s="141" t="s">
        <v>925</v>
      </c>
      <c r="D545" s="118">
        <f t="shared" si="26"/>
        <v>121.67</v>
      </c>
      <c r="E545" s="118">
        <f t="shared" si="27"/>
        <v>24.33</v>
      </c>
      <c r="F545" s="123">
        <v>146</v>
      </c>
      <c r="G545" s="83"/>
      <c r="H545" s="84"/>
      <c r="I545" s="84"/>
    </row>
    <row r="546" spans="1:11" customFormat="1" ht="31.5" hidden="1" outlineLevel="1" x14ac:dyDescent="0.25">
      <c r="A546" s="144" t="s">
        <v>1239</v>
      </c>
      <c r="B546" s="70" t="s">
        <v>928</v>
      </c>
      <c r="C546" s="141" t="s">
        <v>926</v>
      </c>
      <c r="D546" s="118">
        <f t="shared" si="26"/>
        <v>365.83</v>
      </c>
      <c r="E546" s="118">
        <f t="shared" si="27"/>
        <v>73.17</v>
      </c>
      <c r="F546" s="123">
        <v>439</v>
      </c>
      <c r="G546" s="83"/>
      <c r="H546" s="84"/>
      <c r="I546" s="84"/>
    </row>
    <row r="547" spans="1:11" customFormat="1" ht="31.5" hidden="1" outlineLevel="1" x14ac:dyDescent="0.25">
      <c r="A547" s="144" t="s">
        <v>1240</v>
      </c>
      <c r="B547" s="70" t="s">
        <v>928</v>
      </c>
      <c r="C547" s="141" t="s">
        <v>927</v>
      </c>
      <c r="D547" s="118">
        <f t="shared" si="26"/>
        <v>512.5</v>
      </c>
      <c r="E547" s="118">
        <f t="shared" si="27"/>
        <v>102.5</v>
      </c>
      <c r="F547" s="123">
        <v>615</v>
      </c>
      <c r="G547" s="83"/>
      <c r="H547" s="84"/>
      <c r="I547" s="84"/>
    </row>
    <row r="548" spans="1:11" customFormat="1" ht="31.5" hidden="1" outlineLevel="1" x14ac:dyDescent="0.25">
      <c r="A548" s="144" t="s">
        <v>1241</v>
      </c>
      <c r="B548" s="70" t="s">
        <v>929</v>
      </c>
      <c r="C548" s="141" t="s">
        <v>6</v>
      </c>
      <c r="D548" s="118">
        <f t="shared" si="26"/>
        <v>225.82999999999998</v>
      </c>
      <c r="E548" s="118">
        <f t="shared" si="27"/>
        <v>45.17</v>
      </c>
      <c r="F548" s="123">
        <v>271</v>
      </c>
      <c r="G548" s="83"/>
      <c r="H548" s="84"/>
      <c r="I548" s="84"/>
    </row>
    <row r="549" spans="1:11" customFormat="1" ht="31.5" hidden="1" outlineLevel="1" x14ac:dyDescent="0.25">
      <c r="A549" s="144" t="s">
        <v>1242</v>
      </c>
      <c r="B549" s="70" t="s">
        <v>930</v>
      </c>
      <c r="C549" s="141" t="s">
        <v>606</v>
      </c>
      <c r="D549" s="118">
        <f t="shared" si="26"/>
        <v>335</v>
      </c>
      <c r="E549" s="118">
        <f t="shared" si="27"/>
        <v>67</v>
      </c>
      <c r="F549" s="123">
        <v>402</v>
      </c>
      <c r="G549" s="83"/>
      <c r="H549" s="84"/>
      <c r="I549" s="84"/>
    </row>
    <row r="550" spans="1:11" customFormat="1" ht="31.5" hidden="1" outlineLevel="1" x14ac:dyDescent="0.25">
      <c r="A550" s="144" t="s">
        <v>1243</v>
      </c>
      <c r="B550" s="70" t="s">
        <v>931</v>
      </c>
      <c r="C550" s="141" t="s">
        <v>606</v>
      </c>
      <c r="D550" s="118">
        <f t="shared" si="26"/>
        <v>451.67</v>
      </c>
      <c r="E550" s="118">
        <f t="shared" si="27"/>
        <v>90.33</v>
      </c>
      <c r="F550" s="123">
        <v>542</v>
      </c>
      <c r="G550" s="83"/>
      <c r="H550" s="84"/>
      <c r="I550" s="84"/>
    </row>
    <row r="551" spans="1:11" customFormat="1" ht="18.75" hidden="1" x14ac:dyDescent="0.25">
      <c r="A551" s="392" t="s">
        <v>1386</v>
      </c>
      <c r="B551" s="393"/>
      <c r="C551" s="393"/>
      <c r="D551" s="393"/>
      <c r="E551" s="393"/>
      <c r="F551" s="394"/>
      <c r="G551" s="83"/>
      <c r="H551" s="84"/>
      <c r="I551" s="83"/>
      <c r="J551" s="84"/>
      <c r="K551" s="84"/>
    </row>
    <row r="552" spans="1:11" customFormat="1" hidden="1" outlineLevel="1" x14ac:dyDescent="0.25">
      <c r="A552" s="144" t="s">
        <v>1231</v>
      </c>
      <c r="B552" s="70" t="s">
        <v>932</v>
      </c>
      <c r="C552" s="141" t="s">
        <v>6</v>
      </c>
      <c r="D552" s="118">
        <f t="shared" ref="D552:D586" si="28">F552-E552</f>
        <v>97.5</v>
      </c>
      <c r="E552" s="118">
        <f t="shared" si="27"/>
        <v>19.5</v>
      </c>
      <c r="F552" s="123">
        <v>117</v>
      </c>
      <c r="G552" s="83"/>
      <c r="H552" s="84"/>
      <c r="I552" s="84"/>
    </row>
    <row r="553" spans="1:11" customFormat="1" hidden="1" outlineLevel="1" x14ac:dyDescent="0.25">
      <c r="A553" s="144" t="s">
        <v>1232</v>
      </c>
      <c r="B553" s="70" t="s">
        <v>933</v>
      </c>
      <c r="C553" s="141" t="s">
        <v>934</v>
      </c>
      <c r="D553" s="118">
        <f t="shared" si="28"/>
        <v>220</v>
      </c>
      <c r="E553" s="118">
        <f t="shared" si="27"/>
        <v>44</v>
      </c>
      <c r="F553" s="123">
        <v>264</v>
      </c>
      <c r="G553" s="83"/>
      <c r="H553" s="84"/>
      <c r="I553" s="84"/>
    </row>
    <row r="554" spans="1:11" customFormat="1" ht="25.5" hidden="1" outlineLevel="1" x14ac:dyDescent="0.25">
      <c r="A554" s="144" t="s">
        <v>1233</v>
      </c>
      <c r="B554" s="70" t="s">
        <v>933</v>
      </c>
      <c r="C554" s="141" t="s">
        <v>972</v>
      </c>
      <c r="D554" s="118">
        <f t="shared" si="28"/>
        <v>439.17</v>
      </c>
      <c r="E554" s="118">
        <f t="shared" si="27"/>
        <v>87.83</v>
      </c>
      <c r="F554" s="123">
        <v>527</v>
      </c>
      <c r="G554" s="83"/>
      <c r="H554" s="84"/>
      <c r="I554" s="84"/>
    </row>
    <row r="555" spans="1:11" customFormat="1" ht="25.5" hidden="1" outlineLevel="1" x14ac:dyDescent="0.25">
      <c r="A555" s="144" t="s">
        <v>1234</v>
      </c>
      <c r="B555" s="70" t="s">
        <v>933</v>
      </c>
      <c r="C555" s="141" t="s">
        <v>973</v>
      </c>
      <c r="D555" s="118">
        <f t="shared" si="28"/>
        <v>659.17</v>
      </c>
      <c r="E555" s="118">
        <f t="shared" si="27"/>
        <v>131.83000000000001</v>
      </c>
      <c r="F555" s="123">
        <v>791</v>
      </c>
      <c r="G555" s="83"/>
      <c r="H555" s="84"/>
      <c r="I555" s="84"/>
    </row>
    <row r="556" spans="1:11" customFormat="1" ht="47.25" hidden="1" outlineLevel="1" x14ac:dyDescent="0.25">
      <c r="A556" s="144" t="s">
        <v>1235</v>
      </c>
      <c r="B556" s="70" t="s">
        <v>935</v>
      </c>
      <c r="C556" s="141" t="s">
        <v>936</v>
      </c>
      <c r="D556" s="118"/>
      <c r="E556" s="118"/>
      <c r="F556" s="123"/>
      <c r="G556" s="83"/>
      <c r="H556" s="84"/>
      <c r="I556" s="84"/>
    </row>
    <row r="557" spans="1:11" customFormat="1" hidden="1" outlineLevel="2" x14ac:dyDescent="0.25">
      <c r="A557" s="447"/>
      <c r="B557" s="70" t="s">
        <v>937</v>
      </c>
      <c r="C557" s="141"/>
      <c r="D557" s="118">
        <f t="shared" si="28"/>
        <v>2075</v>
      </c>
      <c r="E557" s="118">
        <f t="shared" si="27"/>
        <v>415</v>
      </c>
      <c r="F557" s="123">
        <v>2490</v>
      </c>
      <c r="G557" s="83"/>
      <c r="H557" s="84"/>
      <c r="I557" s="84"/>
    </row>
    <row r="558" spans="1:11" customFormat="1" hidden="1" outlineLevel="2" x14ac:dyDescent="0.25">
      <c r="A558" s="447"/>
      <c r="B558" s="70" t="s">
        <v>938</v>
      </c>
      <c r="C558" s="141"/>
      <c r="D558" s="118">
        <f t="shared" si="28"/>
        <v>2196.67</v>
      </c>
      <c r="E558" s="118">
        <f t="shared" si="27"/>
        <v>439.33</v>
      </c>
      <c r="F558" s="123">
        <v>2636</v>
      </c>
      <c r="G558" s="83"/>
      <c r="H558" s="84"/>
      <c r="I558" s="84"/>
    </row>
    <row r="559" spans="1:11" customFormat="1" hidden="1" outlineLevel="2" x14ac:dyDescent="0.25">
      <c r="A559" s="447"/>
      <c r="B559" s="70" t="s">
        <v>939</v>
      </c>
      <c r="C559" s="141"/>
      <c r="D559" s="118">
        <f t="shared" si="28"/>
        <v>975.83</v>
      </c>
      <c r="E559" s="118">
        <f t="shared" si="27"/>
        <v>195.17</v>
      </c>
      <c r="F559" s="123">
        <v>1171</v>
      </c>
      <c r="G559" s="83"/>
      <c r="H559" s="84"/>
      <c r="I559" s="84"/>
    </row>
    <row r="560" spans="1:11" customFormat="1" hidden="1" outlineLevel="2" x14ac:dyDescent="0.25">
      <c r="A560" s="447"/>
      <c r="B560" s="70" t="s">
        <v>940</v>
      </c>
      <c r="C560" s="141"/>
      <c r="D560" s="118">
        <f t="shared" si="28"/>
        <v>975.83</v>
      </c>
      <c r="E560" s="118">
        <f t="shared" si="27"/>
        <v>195.17</v>
      </c>
      <c r="F560" s="123">
        <v>1171</v>
      </c>
      <c r="G560" s="83"/>
      <c r="H560" s="84"/>
      <c r="I560" s="84"/>
    </row>
    <row r="561" spans="1:9" customFormat="1" hidden="1" outlineLevel="2" x14ac:dyDescent="0.25">
      <c r="A561" s="447"/>
      <c r="B561" s="70" t="s">
        <v>941</v>
      </c>
      <c r="C561" s="141"/>
      <c r="D561" s="118">
        <f t="shared" si="28"/>
        <v>1952.5</v>
      </c>
      <c r="E561" s="118">
        <f t="shared" si="27"/>
        <v>390.5</v>
      </c>
      <c r="F561" s="123">
        <v>2343</v>
      </c>
      <c r="G561" s="83"/>
      <c r="H561" s="84"/>
      <c r="I561" s="84"/>
    </row>
    <row r="562" spans="1:9" customFormat="1" hidden="1" outlineLevel="2" x14ac:dyDescent="0.25">
      <c r="A562" s="447"/>
      <c r="B562" s="70" t="s">
        <v>942</v>
      </c>
      <c r="C562" s="141"/>
      <c r="D562" s="118">
        <f t="shared" si="28"/>
        <v>1341.67</v>
      </c>
      <c r="E562" s="118">
        <f t="shared" si="27"/>
        <v>268.33</v>
      </c>
      <c r="F562" s="123">
        <v>1610</v>
      </c>
      <c r="G562" s="83"/>
      <c r="H562" s="84"/>
      <c r="I562" s="84"/>
    </row>
    <row r="563" spans="1:9" customFormat="1" hidden="1" outlineLevel="2" x14ac:dyDescent="0.25">
      <c r="A563" s="447"/>
      <c r="B563" s="70" t="s">
        <v>943</v>
      </c>
      <c r="C563" s="141"/>
      <c r="D563" s="118">
        <f t="shared" si="28"/>
        <v>610</v>
      </c>
      <c r="E563" s="118">
        <f t="shared" si="27"/>
        <v>122</v>
      </c>
      <c r="F563" s="123">
        <v>732</v>
      </c>
      <c r="G563" s="83"/>
      <c r="H563" s="84"/>
      <c r="I563" s="84"/>
    </row>
    <row r="564" spans="1:9" customFormat="1" hidden="1" outlineLevel="1" x14ac:dyDescent="0.25">
      <c r="A564" s="144" t="s">
        <v>1236</v>
      </c>
      <c r="B564" s="70" t="s">
        <v>944</v>
      </c>
      <c r="C564" s="141"/>
      <c r="D564" s="118">
        <f t="shared" si="28"/>
        <v>488.33</v>
      </c>
      <c r="E564" s="118">
        <f t="shared" si="27"/>
        <v>97.67</v>
      </c>
      <c r="F564" s="123">
        <v>586</v>
      </c>
      <c r="G564" s="83"/>
      <c r="H564" s="84"/>
      <c r="I564" s="84"/>
    </row>
    <row r="565" spans="1:9" customFormat="1" hidden="1" outlineLevel="1" x14ac:dyDescent="0.25">
      <c r="A565" s="144" t="s">
        <v>1237</v>
      </c>
      <c r="B565" s="70" t="s">
        <v>945</v>
      </c>
      <c r="C565" s="141" t="s">
        <v>946</v>
      </c>
      <c r="D565" s="118">
        <f t="shared" si="28"/>
        <v>145.82999999999998</v>
      </c>
      <c r="E565" s="118">
        <f t="shared" si="27"/>
        <v>29.17</v>
      </c>
      <c r="F565" s="123">
        <v>175</v>
      </c>
      <c r="G565" s="83"/>
      <c r="H565" s="84"/>
      <c r="I565" s="84"/>
    </row>
    <row r="566" spans="1:9" customFormat="1" hidden="1" outlineLevel="1" x14ac:dyDescent="0.25">
      <c r="A566" s="144" t="s">
        <v>1238</v>
      </c>
      <c r="B566" s="70" t="s">
        <v>947</v>
      </c>
      <c r="C566" s="141" t="s">
        <v>6</v>
      </c>
      <c r="D566" s="118"/>
      <c r="E566" s="118"/>
      <c r="F566" s="123"/>
      <c r="G566" s="83"/>
      <c r="H566" s="84"/>
      <c r="I566" s="84"/>
    </row>
    <row r="567" spans="1:9" customFormat="1" hidden="1" outlineLevel="2" x14ac:dyDescent="0.25">
      <c r="A567" s="447"/>
      <c r="B567" s="70" t="s">
        <v>948</v>
      </c>
      <c r="C567" s="141"/>
      <c r="D567" s="118">
        <f t="shared" si="28"/>
        <v>731.67</v>
      </c>
      <c r="E567" s="118">
        <f t="shared" si="27"/>
        <v>146.33000000000001</v>
      </c>
      <c r="F567" s="123">
        <v>878</v>
      </c>
      <c r="G567" s="83"/>
      <c r="H567" s="84"/>
      <c r="I567" s="84"/>
    </row>
    <row r="568" spans="1:9" customFormat="1" hidden="1" outlineLevel="2" x14ac:dyDescent="0.25">
      <c r="A568" s="447"/>
      <c r="B568" s="70" t="s">
        <v>949</v>
      </c>
      <c r="C568" s="141"/>
      <c r="D568" s="118">
        <f t="shared" si="28"/>
        <v>121.67</v>
      </c>
      <c r="E568" s="118">
        <f t="shared" si="27"/>
        <v>24.33</v>
      </c>
      <c r="F568" s="123">
        <v>146</v>
      </c>
      <c r="G568" s="83"/>
      <c r="H568" s="84"/>
      <c r="I568" s="84"/>
    </row>
    <row r="569" spans="1:9" customFormat="1" ht="31.5" hidden="1" outlineLevel="1" x14ac:dyDescent="0.25">
      <c r="A569" s="144" t="s">
        <v>1239</v>
      </c>
      <c r="B569" s="70" t="s">
        <v>950</v>
      </c>
      <c r="C569" s="141" t="s">
        <v>418</v>
      </c>
      <c r="D569" s="118">
        <f t="shared" si="28"/>
        <v>48.33</v>
      </c>
      <c r="E569" s="118">
        <f t="shared" si="27"/>
        <v>9.67</v>
      </c>
      <c r="F569" s="123">
        <v>58</v>
      </c>
      <c r="G569" s="83"/>
      <c r="H569" s="84"/>
      <c r="I569" s="84"/>
    </row>
    <row r="570" spans="1:9" customFormat="1" hidden="1" outlineLevel="1" x14ac:dyDescent="0.25">
      <c r="A570" s="144" t="s">
        <v>1240</v>
      </c>
      <c r="B570" s="70" t="s">
        <v>951</v>
      </c>
      <c r="C570" s="141" t="s">
        <v>974</v>
      </c>
      <c r="D570" s="118">
        <f t="shared" si="28"/>
        <v>316.67</v>
      </c>
      <c r="E570" s="118">
        <f t="shared" si="27"/>
        <v>63.33</v>
      </c>
      <c r="F570" s="123">
        <v>380</v>
      </c>
      <c r="G570" s="83"/>
      <c r="H570" s="84"/>
      <c r="I570" s="84"/>
    </row>
    <row r="571" spans="1:9" customFormat="1" ht="31.5" hidden="1" outlineLevel="1" x14ac:dyDescent="0.25">
      <c r="A571" s="144" t="s">
        <v>1241</v>
      </c>
      <c r="B571" s="70" t="s">
        <v>952</v>
      </c>
      <c r="C571" s="141" t="s">
        <v>418</v>
      </c>
      <c r="D571" s="118">
        <f t="shared" si="28"/>
        <v>199.17000000000002</v>
      </c>
      <c r="E571" s="118">
        <f t="shared" si="27"/>
        <v>39.83</v>
      </c>
      <c r="F571" s="123">
        <v>239</v>
      </c>
      <c r="G571" s="83"/>
      <c r="H571" s="84"/>
      <c r="I571" s="84"/>
    </row>
    <row r="572" spans="1:9" customFormat="1" ht="25.5" hidden="1" outlineLevel="1" x14ac:dyDescent="0.25">
      <c r="A572" s="144" t="s">
        <v>1242</v>
      </c>
      <c r="B572" s="70" t="s">
        <v>953</v>
      </c>
      <c r="C572" s="141" t="s">
        <v>954</v>
      </c>
      <c r="D572" s="118"/>
      <c r="E572" s="118"/>
      <c r="F572" s="123"/>
      <c r="G572" s="83"/>
      <c r="H572" s="84"/>
      <c r="I572" s="84"/>
    </row>
    <row r="573" spans="1:9" customFormat="1" hidden="1" outlineLevel="2" x14ac:dyDescent="0.25">
      <c r="A573" s="447"/>
      <c r="B573" s="70" t="s">
        <v>967</v>
      </c>
      <c r="C573" s="141"/>
      <c r="D573" s="118">
        <f t="shared" si="28"/>
        <v>310.83</v>
      </c>
      <c r="E573" s="118">
        <f t="shared" si="27"/>
        <v>62.17</v>
      </c>
      <c r="F573" s="123">
        <v>373</v>
      </c>
      <c r="G573" s="83"/>
      <c r="H573" s="84"/>
      <c r="I573" s="84"/>
    </row>
    <row r="574" spans="1:9" customFormat="1" hidden="1" outlineLevel="2" x14ac:dyDescent="0.25">
      <c r="A574" s="447"/>
      <c r="B574" s="70" t="s">
        <v>968</v>
      </c>
      <c r="C574" s="141"/>
      <c r="D574" s="118">
        <f t="shared" si="28"/>
        <v>545.83000000000004</v>
      </c>
      <c r="E574" s="118">
        <f t="shared" si="27"/>
        <v>109.17</v>
      </c>
      <c r="F574" s="123">
        <v>655</v>
      </c>
      <c r="G574" s="83"/>
      <c r="H574" s="84"/>
      <c r="I574" s="84"/>
    </row>
    <row r="575" spans="1:9" customFormat="1" hidden="1" outlineLevel="2" x14ac:dyDescent="0.25">
      <c r="A575" s="447"/>
      <c r="B575" s="70" t="s">
        <v>969</v>
      </c>
      <c r="C575" s="141"/>
      <c r="D575" s="118">
        <f t="shared" si="28"/>
        <v>654.16999999999996</v>
      </c>
      <c r="E575" s="118">
        <f t="shared" si="27"/>
        <v>130.83000000000001</v>
      </c>
      <c r="F575" s="123">
        <v>785</v>
      </c>
      <c r="G575" s="83"/>
      <c r="H575" s="84"/>
      <c r="I575" s="84"/>
    </row>
    <row r="576" spans="1:9" customFormat="1" hidden="1" outlineLevel="2" x14ac:dyDescent="0.25">
      <c r="A576" s="447"/>
      <c r="B576" s="70" t="s">
        <v>970</v>
      </c>
      <c r="C576" s="141"/>
      <c r="D576" s="118">
        <f t="shared" si="28"/>
        <v>621.66999999999996</v>
      </c>
      <c r="E576" s="118">
        <f t="shared" si="27"/>
        <v>124.33</v>
      </c>
      <c r="F576" s="123">
        <v>746</v>
      </c>
      <c r="G576" s="83"/>
      <c r="H576" s="84"/>
      <c r="I576" s="84"/>
    </row>
    <row r="577" spans="1:9" customFormat="1" hidden="1" outlineLevel="2" x14ac:dyDescent="0.25">
      <c r="A577" s="447"/>
      <c r="B577" s="70" t="s">
        <v>971</v>
      </c>
      <c r="C577" s="141"/>
      <c r="D577" s="118">
        <f t="shared" si="28"/>
        <v>838.33</v>
      </c>
      <c r="E577" s="118">
        <f t="shared" si="27"/>
        <v>167.67</v>
      </c>
      <c r="F577" s="123">
        <v>1006</v>
      </c>
      <c r="G577" s="83"/>
      <c r="H577" s="84"/>
      <c r="I577" s="84"/>
    </row>
    <row r="578" spans="1:9" customFormat="1" ht="96.75" hidden="1" customHeight="1" outlineLevel="1" x14ac:dyDescent="0.25">
      <c r="A578" s="144" t="s">
        <v>1243</v>
      </c>
      <c r="B578" s="70" t="s">
        <v>955</v>
      </c>
      <c r="C578" s="141" t="s">
        <v>418</v>
      </c>
      <c r="D578" s="118">
        <f t="shared" si="28"/>
        <v>100.83</v>
      </c>
      <c r="E578" s="118">
        <f t="shared" si="27"/>
        <v>20.170000000000002</v>
      </c>
      <c r="F578" s="123">
        <v>121</v>
      </c>
      <c r="G578" s="83"/>
      <c r="H578" s="84"/>
      <c r="I578" s="84"/>
    </row>
    <row r="579" spans="1:9" customFormat="1" ht="31.5" hidden="1" outlineLevel="1" x14ac:dyDescent="0.25">
      <c r="A579" s="144" t="s">
        <v>1244</v>
      </c>
      <c r="B579" s="70" t="s">
        <v>956</v>
      </c>
      <c r="C579" s="141" t="s">
        <v>957</v>
      </c>
      <c r="D579" s="118">
        <f t="shared" si="28"/>
        <v>20</v>
      </c>
      <c r="E579" s="118">
        <f t="shared" si="27"/>
        <v>4</v>
      </c>
      <c r="F579" s="123">
        <v>24</v>
      </c>
      <c r="G579" s="83"/>
      <c r="H579" s="84"/>
      <c r="I579" s="84"/>
    </row>
    <row r="580" spans="1:9" customFormat="1" ht="47.25" hidden="1" outlineLevel="1" x14ac:dyDescent="0.25">
      <c r="A580" s="144" t="s">
        <v>1245</v>
      </c>
      <c r="B580" s="70" t="s">
        <v>958</v>
      </c>
      <c r="C580" s="141" t="s">
        <v>810</v>
      </c>
      <c r="D580" s="118">
        <f t="shared" si="28"/>
        <v>3.33</v>
      </c>
      <c r="E580" s="118">
        <f t="shared" si="27"/>
        <v>0.67</v>
      </c>
      <c r="F580" s="123">
        <v>4</v>
      </c>
      <c r="G580" s="83"/>
      <c r="H580" s="84"/>
      <c r="I580" s="84"/>
    </row>
    <row r="581" spans="1:9" customFormat="1" ht="47.25" hidden="1" outlineLevel="1" x14ac:dyDescent="0.25">
      <c r="A581" s="144" t="s">
        <v>1246</v>
      </c>
      <c r="B581" s="70" t="s">
        <v>959</v>
      </c>
      <c r="C581" s="141" t="s">
        <v>810</v>
      </c>
      <c r="D581" s="118">
        <f t="shared" si="28"/>
        <v>56.67</v>
      </c>
      <c r="E581" s="118">
        <f t="shared" si="27"/>
        <v>11.33</v>
      </c>
      <c r="F581" s="123">
        <v>68</v>
      </c>
      <c r="G581" s="83"/>
      <c r="H581" s="84"/>
      <c r="I581" s="84"/>
    </row>
    <row r="582" spans="1:9" customFormat="1" hidden="1" outlineLevel="1" x14ac:dyDescent="0.25">
      <c r="A582" s="144" t="s">
        <v>1247</v>
      </c>
      <c r="B582" s="70" t="s">
        <v>960</v>
      </c>
      <c r="C582" s="141" t="s">
        <v>810</v>
      </c>
      <c r="D582" s="118">
        <f t="shared" si="28"/>
        <v>35</v>
      </c>
      <c r="E582" s="118">
        <f t="shared" si="27"/>
        <v>7</v>
      </c>
      <c r="F582" s="123">
        <v>42</v>
      </c>
      <c r="G582" s="83"/>
      <c r="H582" s="84"/>
      <c r="I582" s="84"/>
    </row>
    <row r="583" spans="1:9" customFormat="1" hidden="1" outlineLevel="1" x14ac:dyDescent="0.25">
      <c r="A583" s="144" t="s">
        <v>1248</v>
      </c>
      <c r="B583" s="70" t="s">
        <v>961</v>
      </c>
      <c r="C583" s="141" t="s">
        <v>810</v>
      </c>
      <c r="D583" s="118">
        <f t="shared" si="28"/>
        <v>174.17000000000002</v>
      </c>
      <c r="E583" s="118">
        <f t="shared" si="27"/>
        <v>34.83</v>
      </c>
      <c r="F583" s="123">
        <v>209</v>
      </c>
      <c r="G583" s="83"/>
      <c r="H583" s="84"/>
      <c r="I583" s="84"/>
    </row>
    <row r="584" spans="1:9" customFormat="1" ht="31.5" hidden="1" outlineLevel="1" x14ac:dyDescent="0.25">
      <c r="A584" s="144" t="s">
        <v>1249</v>
      </c>
      <c r="B584" s="70" t="s">
        <v>962</v>
      </c>
      <c r="C584" s="141" t="s">
        <v>418</v>
      </c>
      <c r="D584" s="118">
        <f t="shared" si="28"/>
        <v>121.67</v>
      </c>
      <c r="E584" s="118">
        <f t="shared" ref="E584:E586" si="29">ROUND(F584*$E$7/$F$7,2)</f>
        <v>24.33</v>
      </c>
      <c r="F584" s="123">
        <v>146</v>
      </c>
      <c r="G584" s="83"/>
      <c r="H584" s="84"/>
      <c r="I584" s="84"/>
    </row>
    <row r="585" spans="1:9" customFormat="1" hidden="1" outlineLevel="1" x14ac:dyDescent="0.25">
      <c r="A585" s="144" t="s">
        <v>1250</v>
      </c>
      <c r="B585" s="70" t="s">
        <v>963</v>
      </c>
      <c r="C585" s="141" t="s">
        <v>964</v>
      </c>
      <c r="D585" s="118">
        <f t="shared" si="28"/>
        <v>24.17</v>
      </c>
      <c r="E585" s="118">
        <f t="shared" si="29"/>
        <v>4.83</v>
      </c>
      <c r="F585" s="123">
        <v>29</v>
      </c>
      <c r="G585" s="83"/>
      <c r="H585" s="84"/>
      <c r="I585" s="84"/>
    </row>
    <row r="586" spans="1:9" customFormat="1" hidden="1" outlineLevel="1" x14ac:dyDescent="0.25">
      <c r="A586" s="144" t="s">
        <v>1251</v>
      </c>
      <c r="B586" s="70" t="s">
        <v>965</v>
      </c>
      <c r="C586" s="141" t="s">
        <v>6</v>
      </c>
      <c r="D586" s="118">
        <f t="shared" si="28"/>
        <v>69.17</v>
      </c>
      <c r="E586" s="118">
        <f t="shared" si="29"/>
        <v>13.83</v>
      </c>
      <c r="F586" s="123">
        <v>83</v>
      </c>
      <c r="G586" s="83"/>
      <c r="H586" s="84"/>
      <c r="I586" s="84"/>
    </row>
    <row r="587" spans="1:9" customFormat="1" ht="31.5" hidden="1" outlineLevel="1" x14ac:dyDescent="0.25">
      <c r="A587" s="144" t="s">
        <v>1252</v>
      </c>
      <c r="B587" s="70" t="s">
        <v>1493</v>
      </c>
      <c r="C587" s="141" t="s">
        <v>1497</v>
      </c>
      <c r="D587" s="118"/>
      <c r="E587" s="118"/>
      <c r="F587" s="123"/>
      <c r="G587" s="83" t="s">
        <v>1452</v>
      </c>
      <c r="H587" s="84"/>
      <c r="I587" s="84"/>
    </row>
    <row r="588" spans="1:9" customFormat="1" hidden="1" outlineLevel="2" x14ac:dyDescent="0.25">
      <c r="A588" s="144"/>
      <c r="B588" s="70" t="s">
        <v>1499</v>
      </c>
      <c r="C588" s="141"/>
      <c r="D588" s="118">
        <v>40</v>
      </c>
      <c r="E588" s="118">
        <f t="shared" ref="E588:E604" si="30">ROUND(D588*$E$7,2)</f>
        <v>8</v>
      </c>
      <c r="F588" s="118">
        <f t="shared" ref="F588:F604" si="31">E588+D588</f>
        <v>48</v>
      </c>
      <c r="G588" s="83"/>
      <c r="H588" s="84"/>
      <c r="I588" s="84"/>
    </row>
    <row r="589" spans="1:9" customFormat="1" hidden="1" outlineLevel="2" x14ac:dyDescent="0.25">
      <c r="A589" s="144"/>
      <c r="B589" s="70" t="s">
        <v>1464</v>
      </c>
      <c r="C589" s="141"/>
      <c r="D589" s="118">
        <v>45</v>
      </c>
      <c r="E589" s="118">
        <f t="shared" si="30"/>
        <v>9</v>
      </c>
      <c r="F589" s="118">
        <f t="shared" si="31"/>
        <v>54</v>
      </c>
      <c r="G589" s="83"/>
      <c r="H589" s="84"/>
      <c r="I589" s="84"/>
    </row>
    <row r="590" spans="1:9" customFormat="1" hidden="1" outlineLevel="2" x14ac:dyDescent="0.25">
      <c r="A590" s="144"/>
      <c r="B590" s="70" t="s">
        <v>1465</v>
      </c>
      <c r="C590" s="141"/>
      <c r="D590" s="118">
        <v>50</v>
      </c>
      <c r="E590" s="118">
        <f t="shared" si="30"/>
        <v>10</v>
      </c>
      <c r="F590" s="118">
        <f t="shared" si="31"/>
        <v>60</v>
      </c>
      <c r="G590" s="83"/>
      <c r="H590" s="84"/>
      <c r="I590" s="84"/>
    </row>
    <row r="591" spans="1:9" customFormat="1" hidden="1" outlineLevel="2" x14ac:dyDescent="0.25">
      <c r="A591" s="144"/>
      <c r="B591" s="70" t="s">
        <v>1466</v>
      </c>
      <c r="C591" s="141"/>
      <c r="D591" s="118">
        <v>130</v>
      </c>
      <c r="E591" s="118">
        <f t="shared" si="30"/>
        <v>26</v>
      </c>
      <c r="F591" s="118">
        <f t="shared" si="31"/>
        <v>156</v>
      </c>
      <c r="G591" s="83"/>
      <c r="H591" s="84"/>
      <c r="I591" s="84"/>
    </row>
    <row r="592" spans="1:9" customFormat="1" hidden="1" outlineLevel="2" x14ac:dyDescent="0.25">
      <c r="A592" s="144"/>
      <c r="B592" s="70" t="s">
        <v>1467</v>
      </c>
      <c r="C592" s="141"/>
      <c r="D592" s="118">
        <v>145</v>
      </c>
      <c r="E592" s="118">
        <f t="shared" si="30"/>
        <v>29</v>
      </c>
      <c r="F592" s="118">
        <f t="shared" si="31"/>
        <v>174</v>
      </c>
      <c r="G592" s="83"/>
      <c r="H592" s="84"/>
      <c r="I592" s="84"/>
    </row>
    <row r="593" spans="1:11" customFormat="1" hidden="1" outlineLevel="2" x14ac:dyDescent="0.25">
      <c r="A593" s="144"/>
      <c r="B593" s="70" t="s">
        <v>1468</v>
      </c>
      <c r="C593" s="141"/>
      <c r="D593" s="118">
        <v>155</v>
      </c>
      <c r="E593" s="118">
        <f t="shared" si="30"/>
        <v>31</v>
      </c>
      <c r="F593" s="118">
        <f t="shared" si="31"/>
        <v>186</v>
      </c>
      <c r="G593" s="83"/>
      <c r="H593" s="84"/>
      <c r="I593" s="84"/>
    </row>
    <row r="594" spans="1:11" customFormat="1" hidden="1" outlineLevel="2" x14ac:dyDescent="0.25">
      <c r="A594" s="144"/>
      <c r="B594" s="70" t="s">
        <v>1469</v>
      </c>
      <c r="C594" s="141"/>
      <c r="D594" s="118">
        <v>195</v>
      </c>
      <c r="E594" s="118">
        <f t="shared" si="30"/>
        <v>39</v>
      </c>
      <c r="F594" s="118">
        <f t="shared" si="31"/>
        <v>234</v>
      </c>
      <c r="G594" s="83"/>
      <c r="H594" s="84"/>
      <c r="I594" s="84"/>
    </row>
    <row r="595" spans="1:11" customFormat="1" hidden="1" outlineLevel="2" x14ac:dyDescent="0.25">
      <c r="A595" s="144"/>
      <c r="B595" s="70" t="s">
        <v>1470</v>
      </c>
      <c r="C595" s="141"/>
      <c r="D595" s="118">
        <f t="shared" ref="D595" si="32">F595-E595</f>
        <v>241.67000000000002</v>
      </c>
      <c r="E595" s="118">
        <f t="shared" ref="E595" si="33">ROUND(F595*$E$7/$F$7,2)</f>
        <v>48.33</v>
      </c>
      <c r="F595" s="118">
        <v>290</v>
      </c>
      <c r="G595" s="83"/>
      <c r="H595" s="84"/>
      <c r="I595" s="84"/>
    </row>
    <row r="596" spans="1:11" customFormat="1" hidden="1" outlineLevel="2" x14ac:dyDescent="0.25">
      <c r="A596" s="144"/>
      <c r="B596" s="70" t="s">
        <v>1471</v>
      </c>
      <c r="C596" s="141"/>
      <c r="D596" s="118">
        <v>250</v>
      </c>
      <c r="E596" s="118">
        <f t="shared" si="30"/>
        <v>50</v>
      </c>
      <c r="F596" s="118">
        <f t="shared" si="31"/>
        <v>300</v>
      </c>
      <c r="G596" s="83"/>
      <c r="H596" s="84"/>
      <c r="I596" s="84"/>
    </row>
    <row r="597" spans="1:11" customFormat="1" hidden="1" outlineLevel="2" x14ac:dyDescent="0.25">
      <c r="A597" s="144"/>
      <c r="B597" s="70" t="s">
        <v>1472</v>
      </c>
      <c r="C597" s="141"/>
      <c r="D597" s="118">
        <v>280</v>
      </c>
      <c r="E597" s="118">
        <f t="shared" si="30"/>
        <v>56</v>
      </c>
      <c r="F597" s="118">
        <f t="shared" si="31"/>
        <v>336</v>
      </c>
      <c r="G597" s="83"/>
      <c r="H597" s="84"/>
      <c r="I597" s="84"/>
    </row>
    <row r="598" spans="1:11" customFormat="1" hidden="1" outlineLevel="2" x14ac:dyDescent="0.25">
      <c r="A598" s="144"/>
      <c r="B598" s="70" t="s">
        <v>1473</v>
      </c>
      <c r="C598" s="141"/>
      <c r="D598" s="118">
        <v>350</v>
      </c>
      <c r="E598" s="118">
        <f t="shared" si="30"/>
        <v>70</v>
      </c>
      <c r="F598" s="118">
        <f t="shared" si="31"/>
        <v>420</v>
      </c>
      <c r="G598" s="83"/>
      <c r="H598" s="84"/>
      <c r="I598" s="84"/>
    </row>
    <row r="599" spans="1:11" customFormat="1" hidden="1" outlineLevel="2" x14ac:dyDescent="0.25">
      <c r="A599" s="144"/>
      <c r="B599" s="70" t="s">
        <v>1474</v>
      </c>
      <c r="C599" s="141"/>
      <c r="D599" s="118">
        <v>365</v>
      </c>
      <c r="E599" s="118">
        <f t="shared" si="30"/>
        <v>73</v>
      </c>
      <c r="F599" s="118">
        <f t="shared" si="31"/>
        <v>438</v>
      </c>
      <c r="G599" s="83"/>
      <c r="H599" s="84"/>
      <c r="I599" s="84"/>
    </row>
    <row r="600" spans="1:11" customFormat="1" hidden="1" outlineLevel="2" x14ac:dyDescent="0.25">
      <c r="A600" s="144"/>
      <c r="B600" s="70" t="s">
        <v>1475</v>
      </c>
      <c r="C600" s="141"/>
      <c r="D600" s="118">
        <v>370</v>
      </c>
      <c r="E600" s="118">
        <f t="shared" si="30"/>
        <v>74</v>
      </c>
      <c r="F600" s="118">
        <f t="shared" si="31"/>
        <v>444</v>
      </c>
      <c r="G600" s="83"/>
      <c r="H600" s="84"/>
      <c r="I600" s="84"/>
    </row>
    <row r="601" spans="1:11" customFormat="1" hidden="1" outlineLevel="2" x14ac:dyDescent="0.25">
      <c r="A601" s="144"/>
      <c r="B601" s="70" t="s">
        <v>1476</v>
      </c>
      <c r="C601" s="141"/>
      <c r="D601" s="118">
        <v>405</v>
      </c>
      <c r="E601" s="118">
        <f t="shared" si="30"/>
        <v>81</v>
      </c>
      <c r="F601" s="118">
        <f t="shared" si="31"/>
        <v>486</v>
      </c>
      <c r="G601" s="83"/>
      <c r="H601" s="84"/>
      <c r="I601" s="84"/>
    </row>
    <row r="602" spans="1:11" customFormat="1" hidden="1" outlineLevel="2" x14ac:dyDescent="0.25">
      <c r="A602" s="144"/>
      <c r="B602" s="70" t="s">
        <v>1477</v>
      </c>
      <c r="C602" s="141"/>
      <c r="D602" s="118">
        <f t="shared" ref="D602:D603" si="34">F602-E602</f>
        <v>481.67</v>
      </c>
      <c r="E602" s="118">
        <f t="shared" ref="E602:E603" si="35">ROUND(F602*$E$7/$F$7,2)</f>
        <v>96.33</v>
      </c>
      <c r="F602" s="118">
        <v>578</v>
      </c>
      <c r="G602" s="83"/>
      <c r="H602" s="84"/>
      <c r="I602" s="84"/>
    </row>
    <row r="603" spans="1:11" customFormat="1" hidden="1" outlineLevel="2" x14ac:dyDescent="0.25">
      <c r="A603" s="144"/>
      <c r="B603" s="70" t="s">
        <v>1478</v>
      </c>
      <c r="C603" s="141"/>
      <c r="D603" s="118">
        <f t="shared" si="34"/>
        <v>543.33000000000004</v>
      </c>
      <c r="E603" s="118">
        <f t="shared" si="35"/>
        <v>108.67</v>
      </c>
      <c r="F603" s="118">
        <v>652</v>
      </c>
      <c r="G603" s="83"/>
      <c r="H603" s="84"/>
      <c r="I603" s="84"/>
    </row>
    <row r="604" spans="1:11" customFormat="1" hidden="1" outlineLevel="2" x14ac:dyDescent="0.25">
      <c r="A604" s="144"/>
      <c r="B604" s="70" t="s">
        <v>1479</v>
      </c>
      <c r="C604" s="141"/>
      <c r="D604" s="118">
        <v>545</v>
      </c>
      <c r="E604" s="118">
        <f t="shared" si="30"/>
        <v>109</v>
      </c>
      <c r="F604" s="118">
        <f t="shared" si="31"/>
        <v>654</v>
      </c>
      <c r="G604" s="83"/>
      <c r="H604" s="84"/>
      <c r="I604" s="84"/>
    </row>
    <row r="605" spans="1:11" customFormat="1" ht="18.75" hidden="1" x14ac:dyDescent="0.25">
      <c r="A605" s="453" t="s">
        <v>1387</v>
      </c>
      <c r="B605" s="453"/>
      <c r="C605" s="453"/>
      <c r="D605" s="453"/>
      <c r="E605" s="453"/>
      <c r="F605" s="453"/>
      <c r="G605" s="83"/>
      <c r="H605" s="84"/>
      <c r="I605" s="83"/>
      <c r="J605" s="84"/>
      <c r="K605" s="84"/>
    </row>
    <row r="606" spans="1:11" customFormat="1" ht="15" hidden="1" customHeight="1" outlineLevel="1" x14ac:dyDescent="0.25">
      <c r="A606" s="450" t="s">
        <v>1421</v>
      </c>
      <c r="B606" s="408"/>
      <c r="C606" s="408"/>
      <c r="D606" s="408"/>
      <c r="E606" s="408"/>
      <c r="F606" s="451"/>
      <c r="G606" s="83"/>
      <c r="H606" s="84"/>
      <c r="I606" s="83"/>
      <c r="J606" s="84"/>
      <c r="K606" s="84"/>
    </row>
    <row r="607" spans="1:11" customFormat="1" hidden="1" outlineLevel="2" x14ac:dyDescent="0.25">
      <c r="A607" s="144" t="s">
        <v>1231</v>
      </c>
      <c r="B607" s="70" t="s">
        <v>1004</v>
      </c>
      <c r="C607" s="91" t="s">
        <v>549</v>
      </c>
      <c r="D607" s="118">
        <f t="shared" ref="D607" si="36">F607-E607</f>
        <v>270.83</v>
      </c>
      <c r="E607" s="118">
        <f t="shared" ref="E607" si="37">ROUND(F607*$E$7/$F$7,2)</f>
        <v>54.17</v>
      </c>
      <c r="F607" s="123">
        <v>325</v>
      </c>
      <c r="G607" s="83"/>
      <c r="H607" s="84"/>
      <c r="I607" s="84"/>
    </row>
    <row r="608" spans="1:11" s="83" customFormat="1" ht="18.75" hidden="1" outlineLevel="1" x14ac:dyDescent="0.25">
      <c r="A608" s="407" t="s">
        <v>1422</v>
      </c>
      <c r="B608" s="452"/>
      <c r="C608" s="452"/>
      <c r="D608" s="452"/>
      <c r="E608" s="452"/>
      <c r="F608" s="409"/>
      <c r="H608" s="84"/>
      <c r="J608" s="89"/>
      <c r="K608" s="89"/>
    </row>
    <row r="609" spans="1:9" customFormat="1" hidden="1" outlineLevel="2" x14ac:dyDescent="0.25">
      <c r="A609" s="144" t="s">
        <v>1232</v>
      </c>
      <c r="B609" s="70" t="s">
        <v>1005</v>
      </c>
      <c r="C609" s="91" t="s">
        <v>549</v>
      </c>
      <c r="D609" s="118">
        <f t="shared" ref="D609:D636" si="38">F609-E609</f>
        <v>99.17</v>
      </c>
      <c r="E609" s="118">
        <f t="shared" ref="E609:E642" si="39">ROUND(F609*$E$7/$F$7,2)</f>
        <v>19.829999999999998</v>
      </c>
      <c r="F609" s="123">
        <v>119</v>
      </c>
      <c r="G609" s="83"/>
      <c r="H609" s="84"/>
      <c r="I609" s="84"/>
    </row>
    <row r="610" spans="1:9" customFormat="1" hidden="1" outlineLevel="2" x14ac:dyDescent="0.25">
      <c r="A610" s="144" t="s">
        <v>1233</v>
      </c>
      <c r="B610" s="70" t="s">
        <v>1006</v>
      </c>
      <c r="C610" s="91" t="s">
        <v>549</v>
      </c>
      <c r="D610" s="118">
        <f t="shared" si="38"/>
        <v>99.17</v>
      </c>
      <c r="E610" s="118">
        <f t="shared" si="39"/>
        <v>19.829999999999998</v>
      </c>
      <c r="F610" s="123">
        <v>119</v>
      </c>
      <c r="G610" s="83"/>
      <c r="H610" s="84"/>
      <c r="I610" s="84"/>
    </row>
    <row r="611" spans="1:9" customFormat="1" hidden="1" outlineLevel="2" x14ac:dyDescent="0.25">
      <c r="A611" s="144" t="s">
        <v>1234</v>
      </c>
      <c r="B611" s="70" t="s">
        <v>1007</v>
      </c>
      <c r="C611" s="91" t="s">
        <v>549</v>
      </c>
      <c r="D611" s="118">
        <f t="shared" si="38"/>
        <v>99.17</v>
      </c>
      <c r="E611" s="118">
        <f t="shared" si="39"/>
        <v>19.829999999999998</v>
      </c>
      <c r="F611" s="123">
        <v>119</v>
      </c>
      <c r="G611" s="83"/>
      <c r="H611" s="84"/>
      <c r="I611" s="84"/>
    </row>
    <row r="612" spans="1:9" s="83" customFormat="1" hidden="1" outlineLevel="2" x14ac:dyDescent="0.25">
      <c r="A612" s="144" t="s">
        <v>1235</v>
      </c>
      <c r="B612" s="70" t="s">
        <v>1008</v>
      </c>
      <c r="C612" s="92" t="s">
        <v>549</v>
      </c>
      <c r="D612" s="118">
        <f t="shared" si="38"/>
        <v>99.17</v>
      </c>
      <c r="E612" s="118">
        <f t="shared" si="39"/>
        <v>19.829999999999998</v>
      </c>
      <c r="F612" s="123">
        <v>119</v>
      </c>
      <c r="H612" s="89"/>
      <c r="I612" s="89"/>
    </row>
    <row r="613" spans="1:9" customFormat="1" hidden="1" outlineLevel="2" x14ac:dyDescent="0.25">
      <c r="A613" s="144" t="s">
        <v>1236</v>
      </c>
      <c r="B613" s="70" t="s">
        <v>1009</v>
      </c>
      <c r="C613" s="92" t="s">
        <v>549</v>
      </c>
      <c r="D613" s="118">
        <f t="shared" si="38"/>
        <v>99.17</v>
      </c>
      <c r="E613" s="118">
        <f t="shared" si="39"/>
        <v>19.829999999999998</v>
      </c>
      <c r="F613" s="123">
        <v>119</v>
      </c>
      <c r="G613" s="83"/>
      <c r="H613" s="84"/>
      <c r="I613" s="84"/>
    </row>
    <row r="614" spans="1:9" customFormat="1" hidden="1" outlineLevel="2" x14ac:dyDescent="0.25">
      <c r="A614" s="144" t="s">
        <v>1237</v>
      </c>
      <c r="B614" s="70" t="s">
        <v>1010</v>
      </c>
      <c r="C614" s="92" t="s">
        <v>549</v>
      </c>
      <c r="D614" s="118">
        <f t="shared" si="38"/>
        <v>99.17</v>
      </c>
      <c r="E614" s="118">
        <f t="shared" si="39"/>
        <v>19.829999999999998</v>
      </c>
      <c r="F614" s="123">
        <v>119</v>
      </c>
      <c r="G614" s="83"/>
      <c r="H614" s="84"/>
      <c r="I614" s="84"/>
    </row>
    <row r="615" spans="1:9" customFormat="1" hidden="1" outlineLevel="2" x14ac:dyDescent="0.25">
      <c r="A615" s="144" t="s">
        <v>1238</v>
      </c>
      <c r="B615" s="70" t="s">
        <v>1011</v>
      </c>
      <c r="C615" s="92" t="s">
        <v>549</v>
      </c>
      <c r="D615" s="118">
        <f t="shared" si="38"/>
        <v>99.17</v>
      </c>
      <c r="E615" s="118">
        <f t="shared" si="39"/>
        <v>19.829999999999998</v>
      </c>
      <c r="F615" s="123">
        <v>119</v>
      </c>
      <c r="G615" s="83"/>
      <c r="H615" s="84"/>
      <c r="I615" s="84"/>
    </row>
    <row r="616" spans="1:9" customFormat="1" hidden="1" outlineLevel="2" x14ac:dyDescent="0.25">
      <c r="A616" s="144" t="s">
        <v>1239</v>
      </c>
      <c r="B616" s="70" t="s">
        <v>147</v>
      </c>
      <c r="C616" s="92" t="s">
        <v>549</v>
      </c>
      <c r="D616" s="118">
        <f t="shared" si="38"/>
        <v>99.17</v>
      </c>
      <c r="E616" s="118">
        <f t="shared" si="39"/>
        <v>19.829999999999998</v>
      </c>
      <c r="F616" s="123">
        <v>119</v>
      </c>
      <c r="G616" s="83"/>
      <c r="H616" s="84"/>
      <c r="I616" s="84"/>
    </row>
    <row r="617" spans="1:9" s="83" customFormat="1" hidden="1" outlineLevel="2" x14ac:dyDescent="0.25">
      <c r="A617" s="144" t="s">
        <v>1240</v>
      </c>
      <c r="B617" s="70" t="s">
        <v>1012</v>
      </c>
      <c r="C617" s="92" t="s">
        <v>549</v>
      </c>
      <c r="D617" s="118">
        <f t="shared" si="38"/>
        <v>99.17</v>
      </c>
      <c r="E617" s="118">
        <f t="shared" si="39"/>
        <v>19.829999999999998</v>
      </c>
      <c r="F617" s="123">
        <v>119</v>
      </c>
      <c r="H617" s="89"/>
      <c r="I617" s="89"/>
    </row>
    <row r="618" spans="1:9" s="83" customFormat="1" hidden="1" outlineLevel="2" x14ac:dyDescent="0.25">
      <c r="A618" s="144" t="s">
        <v>1241</v>
      </c>
      <c r="B618" s="70" t="s">
        <v>1013</v>
      </c>
      <c r="C618" s="92" t="s">
        <v>549</v>
      </c>
      <c r="D618" s="118">
        <f t="shared" si="38"/>
        <v>99.17</v>
      </c>
      <c r="E618" s="118">
        <f t="shared" si="39"/>
        <v>19.829999999999998</v>
      </c>
      <c r="F618" s="123">
        <v>119</v>
      </c>
      <c r="H618" s="89"/>
      <c r="I618" s="89"/>
    </row>
    <row r="619" spans="1:9" customFormat="1" hidden="1" outlineLevel="2" x14ac:dyDescent="0.25">
      <c r="A619" s="144" t="s">
        <v>1242</v>
      </c>
      <c r="B619" s="70" t="s">
        <v>1014</v>
      </c>
      <c r="C619" s="92" t="s">
        <v>549</v>
      </c>
      <c r="D619" s="118">
        <f t="shared" si="38"/>
        <v>99.17</v>
      </c>
      <c r="E619" s="118">
        <f t="shared" si="39"/>
        <v>19.829999999999998</v>
      </c>
      <c r="F619" s="123">
        <v>119</v>
      </c>
      <c r="G619" s="83"/>
      <c r="H619" s="84"/>
      <c r="I619" s="84"/>
    </row>
    <row r="620" spans="1:9" s="83" customFormat="1" hidden="1" outlineLevel="2" x14ac:dyDescent="0.25">
      <c r="A620" s="144" t="s">
        <v>1243</v>
      </c>
      <c r="B620" s="70" t="s">
        <v>1015</v>
      </c>
      <c r="C620" s="92" t="s">
        <v>549</v>
      </c>
      <c r="D620" s="118">
        <f t="shared" si="38"/>
        <v>99.17</v>
      </c>
      <c r="E620" s="118">
        <f t="shared" si="39"/>
        <v>19.829999999999998</v>
      </c>
      <c r="F620" s="123">
        <v>119</v>
      </c>
      <c r="H620" s="89"/>
      <c r="I620" s="89"/>
    </row>
    <row r="621" spans="1:9" customFormat="1" hidden="1" outlineLevel="2" x14ac:dyDescent="0.25">
      <c r="A621" s="144" t="s">
        <v>1244</v>
      </c>
      <c r="B621" s="70" t="s">
        <v>1016</v>
      </c>
      <c r="C621" s="92" t="s">
        <v>549</v>
      </c>
      <c r="D621" s="118">
        <f t="shared" si="38"/>
        <v>99.17</v>
      </c>
      <c r="E621" s="118">
        <f t="shared" si="39"/>
        <v>19.829999999999998</v>
      </c>
      <c r="F621" s="123">
        <v>119</v>
      </c>
      <c r="G621" s="83"/>
      <c r="H621" s="84"/>
      <c r="I621" s="84"/>
    </row>
    <row r="622" spans="1:9" s="83" customFormat="1" hidden="1" outlineLevel="2" x14ac:dyDescent="0.25">
      <c r="A622" s="144" t="s">
        <v>1245</v>
      </c>
      <c r="B622" s="70" t="s">
        <v>1017</v>
      </c>
      <c r="C622" s="92" t="s">
        <v>549</v>
      </c>
      <c r="D622" s="118">
        <f t="shared" si="38"/>
        <v>99.17</v>
      </c>
      <c r="E622" s="118">
        <f t="shared" si="39"/>
        <v>19.829999999999998</v>
      </c>
      <c r="F622" s="123">
        <v>119</v>
      </c>
      <c r="H622" s="89"/>
      <c r="I622" s="89"/>
    </row>
    <row r="623" spans="1:9" s="83" customFormat="1" hidden="1" outlineLevel="2" x14ac:dyDescent="0.25">
      <c r="A623" s="144" t="s">
        <v>1246</v>
      </c>
      <c r="B623" s="70" t="s">
        <v>1018</v>
      </c>
      <c r="C623" s="92" t="s">
        <v>549</v>
      </c>
      <c r="D623" s="118">
        <f t="shared" si="38"/>
        <v>246.67000000000002</v>
      </c>
      <c r="E623" s="118">
        <f t="shared" si="39"/>
        <v>49.33</v>
      </c>
      <c r="F623" s="123">
        <v>296</v>
      </c>
      <c r="H623" s="89"/>
      <c r="I623" s="89"/>
    </row>
    <row r="624" spans="1:9" s="83" customFormat="1" hidden="1" outlineLevel="2" x14ac:dyDescent="0.25">
      <c r="A624" s="144" t="s">
        <v>1247</v>
      </c>
      <c r="B624" s="70" t="s">
        <v>1019</v>
      </c>
      <c r="C624" s="92" t="s">
        <v>549</v>
      </c>
      <c r="D624" s="118">
        <f t="shared" si="38"/>
        <v>99.17</v>
      </c>
      <c r="E624" s="118">
        <f t="shared" si="39"/>
        <v>19.829999999999998</v>
      </c>
      <c r="F624" s="123">
        <v>119</v>
      </c>
      <c r="H624" s="89"/>
      <c r="I624" s="89"/>
    </row>
    <row r="625" spans="1:11" customFormat="1" hidden="1" outlineLevel="2" x14ac:dyDescent="0.25">
      <c r="A625" s="144" t="s">
        <v>1248</v>
      </c>
      <c r="B625" s="70" t="s">
        <v>1020</v>
      </c>
      <c r="C625" s="92" t="s">
        <v>549</v>
      </c>
      <c r="D625" s="118">
        <f t="shared" si="38"/>
        <v>99.17</v>
      </c>
      <c r="E625" s="118">
        <f t="shared" si="39"/>
        <v>19.829999999999998</v>
      </c>
      <c r="F625" s="123">
        <v>119</v>
      </c>
      <c r="G625" s="83"/>
      <c r="H625" s="84"/>
      <c r="I625" s="84"/>
    </row>
    <row r="626" spans="1:11" customFormat="1" hidden="1" outlineLevel="2" x14ac:dyDescent="0.25">
      <c r="A626" s="144" t="s">
        <v>1249</v>
      </c>
      <c r="B626" s="70" t="s">
        <v>1021</v>
      </c>
      <c r="C626" s="92" t="s">
        <v>549</v>
      </c>
      <c r="D626" s="118">
        <f t="shared" si="38"/>
        <v>99.17</v>
      </c>
      <c r="E626" s="118">
        <f t="shared" si="39"/>
        <v>19.829999999999998</v>
      </c>
      <c r="F626" s="123">
        <v>119</v>
      </c>
      <c r="G626" s="83"/>
      <c r="H626" s="84"/>
      <c r="I626" s="84"/>
    </row>
    <row r="627" spans="1:11" s="83" customFormat="1" hidden="1" outlineLevel="2" x14ac:dyDescent="0.25">
      <c r="A627" s="144" t="s">
        <v>1250</v>
      </c>
      <c r="B627" s="70" t="s">
        <v>1022</v>
      </c>
      <c r="C627" s="92" t="s">
        <v>549</v>
      </c>
      <c r="D627" s="118">
        <f t="shared" si="38"/>
        <v>270.83</v>
      </c>
      <c r="E627" s="118">
        <f t="shared" si="39"/>
        <v>54.17</v>
      </c>
      <c r="F627" s="123">
        <v>325</v>
      </c>
      <c r="H627" s="89"/>
      <c r="I627" s="89"/>
    </row>
    <row r="628" spans="1:11" customFormat="1" hidden="1" outlineLevel="2" x14ac:dyDescent="0.25">
      <c r="A628" s="144" t="s">
        <v>1251</v>
      </c>
      <c r="B628" s="70" t="s">
        <v>1023</v>
      </c>
      <c r="C628" s="92" t="s">
        <v>549</v>
      </c>
      <c r="D628" s="118">
        <f t="shared" si="38"/>
        <v>99.17</v>
      </c>
      <c r="E628" s="118">
        <f t="shared" si="39"/>
        <v>19.829999999999998</v>
      </c>
      <c r="F628" s="123">
        <v>119</v>
      </c>
      <c r="G628" s="83"/>
      <c r="H628" s="84"/>
      <c r="I628" s="84"/>
    </row>
    <row r="629" spans="1:11" customFormat="1" hidden="1" outlineLevel="2" x14ac:dyDescent="0.25">
      <c r="A629" s="144" t="s">
        <v>1252</v>
      </c>
      <c r="B629" s="70" t="s">
        <v>1024</v>
      </c>
      <c r="C629" s="92" t="s">
        <v>549</v>
      </c>
      <c r="D629" s="118">
        <f t="shared" si="38"/>
        <v>99.17</v>
      </c>
      <c r="E629" s="118">
        <f t="shared" si="39"/>
        <v>19.829999999999998</v>
      </c>
      <c r="F629" s="123">
        <v>119</v>
      </c>
      <c r="G629" s="83"/>
      <c r="H629" s="84"/>
      <c r="I629" s="84"/>
    </row>
    <row r="630" spans="1:11" customFormat="1" hidden="1" outlineLevel="2" x14ac:dyDescent="0.25">
      <c r="A630" s="144" t="s">
        <v>1253</v>
      </c>
      <c r="B630" s="70" t="s">
        <v>1025</v>
      </c>
      <c r="C630" s="92" t="s">
        <v>549</v>
      </c>
      <c r="D630" s="118">
        <f t="shared" si="38"/>
        <v>99.17</v>
      </c>
      <c r="E630" s="118">
        <f t="shared" si="39"/>
        <v>19.829999999999998</v>
      </c>
      <c r="F630" s="123">
        <v>119</v>
      </c>
      <c r="G630" s="83"/>
      <c r="H630" s="84"/>
      <c r="I630" s="84"/>
    </row>
    <row r="631" spans="1:11" customFormat="1" hidden="1" outlineLevel="2" x14ac:dyDescent="0.25">
      <c r="A631" s="144" t="s">
        <v>1254</v>
      </c>
      <c r="B631" s="70" t="s">
        <v>1026</v>
      </c>
      <c r="C631" s="92" t="s">
        <v>549</v>
      </c>
      <c r="D631" s="118">
        <f t="shared" si="38"/>
        <v>99.17</v>
      </c>
      <c r="E631" s="118">
        <f t="shared" si="39"/>
        <v>19.829999999999998</v>
      </c>
      <c r="F631" s="123">
        <v>119</v>
      </c>
      <c r="G631" s="83"/>
      <c r="H631" s="84"/>
      <c r="I631" s="84"/>
    </row>
    <row r="632" spans="1:11" customFormat="1" hidden="1" outlineLevel="2" x14ac:dyDescent="0.25">
      <c r="A632" s="144" t="s">
        <v>1255</v>
      </c>
      <c r="B632" s="70" t="s">
        <v>1027</v>
      </c>
      <c r="C632" s="92" t="s">
        <v>549</v>
      </c>
      <c r="D632" s="118">
        <f t="shared" si="38"/>
        <v>99.17</v>
      </c>
      <c r="E632" s="118">
        <f t="shared" si="39"/>
        <v>19.829999999999998</v>
      </c>
      <c r="F632" s="123">
        <v>119</v>
      </c>
      <c r="G632" s="83"/>
      <c r="H632" s="84"/>
      <c r="I632" s="84"/>
    </row>
    <row r="633" spans="1:11" customFormat="1" hidden="1" outlineLevel="2" x14ac:dyDescent="0.25">
      <c r="A633" s="144" t="s">
        <v>1256</v>
      </c>
      <c r="B633" s="70" t="s">
        <v>1028</v>
      </c>
      <c r="C633" s="92" t="s">
        <v>549</v>
      </c>
      <c r="D633" s="118">
        <f t="shared" si="38"/>
        <v>113.33</v>
      </c>
      <c r="E633" s="118">
        <f t="shared" si="39"/>
        <v>22.67</v>
      </c>
      <c r="F633" s="123">
        <v>136</v>
      </c>
      <c r="G633" s="83"/>
      <c r="H633" s="84"/>
      <c r="I633" s="84"/>
    </row>
    <row r="634" spans="1:11" s="83" customFormat="1" hidden="1" outlineLevel="2" x14ac:dyDescent="0.25">
      <c r="A634" s="144" t="s">
        <v>1257</v>
      </c>
      <c r="B634" s="70" t="s">
        <v>1029</v>
      </c>
      <c r="C634" s="92" t="s">
        <v>549</v>
      </c>
      <c r="D634" s="118">
        <f t="shared" si="38"/>
        <v>406.67</v>
      </c>
      <c r="E634" s="118">
        <f t="shared" si="39"/>
        <v>81.33</v>
      </c>
      <c r="F634" s="123">
        <v>488</v>
      </c>
      <c r="H634" s="89"/>
      <c r="I634" s="89"/>
    </row>
    <row r="635" spans="1:11" s="83" customFormat="1" hidden="1" outlineLevel="2" x14ac:dyDescent="0.25">
      <c r="A635" s="144" t="s">
        <v>1258</v>
      </c>
      <c r="B635" s="70" t="s">
        <v>1030</v>
      </c>
      <c r="C635" s="92" t="s">
        <v>549</v>
      </c>
      <c r="D635" s="118">
        <f t="shared" si="38"/>
        <v>369.17</v>
      </c>
      <c r="E635" s="118">
        <f t="shared" si="39"/>
        <v>73.83</v>
      </c>
      <c r="F635" s="123">
        <v>443</v>
      </c>
      <c r="H635" s="89"/>
      <c r="I635" s="89"/>
    </row>
    <row r="636" spans="1:11" s="83" customFormat="1" hidden="1" outlineLevel="2" x14ac:dyDescent="0.25">
      <c r="A636" s="144" t="s">
        <v>1259</v>
      </c>
      <c r="B636" s="70" t="s">
        <v>1031</v>
      </c>
      <c r="C636" s="92" t="s">
        <v>549</v>
      </c>
      <c r="D636" s="118">
        <f t="shared" si="38"/>
        <v>467.5</v>
      </c>
      <c r="E636" s="118">
        <f t="shared" si="39"/>
        <v>93.5</v>
      </c>
      <c r="F636" s="123">
        <v>561</v>
      </c>
      <c r="H636" s="89"/>
      <c r="I636" s="89"/>
    </row>
    <row r="637" spans="1:11" s="83" customFormat="1" ht="18.75" hidden="1" outlineLevel="1" x14ac:dyDescent="0.25">
      <c r="A637" s="407" t="s">
        <v>1423</v>
      </c>
      <c r="B637" s="452"/>
      <c r="C637" s="452"/>
      <c r="D637" s="452"/>
      <c r="E637" s="452"/>
      <c r="F637" s="409"/>
      <c r="H637" s="89"/>
      <c r="J637" s="89"/>
      <c r="K637" s="89"/>
    </row>
    <row r="638" spans="1:11" s="83" customFormat="1" hidden="1" outlineLevel="2" x14ac:dyDescent="0.25">
      <c r="A638" s="144" t="s">
        <v>1231</v>
      </c>
      <c r="B638" s="70" t="s">
        <v>1032</v>
      </c>
      <c r="C638" s="91" t="s">
        <v>549</v>
      </c>
      <c r="D638" s="118">
        <f t="shared" ref="D638:D639" si="40">F638-E638</f>
        <v>283.33</v>
      </c>
      <c r="E638" s="118">
        <f t="shared" si="39"/>
        <v>56.67</v>
      </c>
      <c r="F638" s="123">
        <v>340</v>
      </c>
      <c r="H638" s="89"/>
      <c r="I638" s="89"/>
    </row>
    <row r="639" spans="1:11" s="83" customFormat="1" hidden="1" outlineLevel="2" x14ac:dyDescent="0.25">
      <c r="A639" s="144" t="s">
        <v>1232</v>
      </c>
      <c r="B639" s="70" t="s">
        <v>1033</v>
      </c>
      <c r="C639" s="91" t="s">
        <v>549</v>
      </c>
      <c r="D639" s="118">
        <f t="shared" si="40"/>
        <v>235</v>
      </c>
      <c r="E639" s="118">
        <f t="shared" si="39"/>
        <v>47</v>
      </c>
      <c r="F639" s="123">
        <v>282</v>
      </c>
      <c r="H639" s="89"/>
      <c r="I639" s="89"/>
    </row>
    <row r="640" spans="1:11" s="83" customFormat="1" ht="18.75" hidden="1" outlineLevel="1" x14ac:dyDescent="0.25">
      <c r="A640" s="407" t="s">
        <v>1424</v>
      </c>
      <c r="B640" s="452"/>
      <c r="C640" s="452"/>
      <c r="D640" s="452"/>
      <c r="E640" s="452"/>
      <c r="F640" s="409"/>
      <c r="H640" s="89"/>
      <c r="J640" s="89"/>
      <c r="K640" s="89"/>
    </row>
    <row r="641" spans="1:11" s="83" customFormat="1" hidden="1" outlineLevel="2" x14ac:dyDescent="0.25">
      <c r="A641" s="144" t="s">
        <v>1231</v>
      </c>
      <c r="B641" s="70" t="s">
        <v>1034</v>
      </c>
      <c r="C641" s="91" t="s">
        <v>549</v>
      </c>
      <c r="D641" s="118">
        <f t="shared" ref="D641:D642" si="41">F641-E641</f>
        <v>800.83</v>
      </c>
      <c r="E641" s="118">
        <f t="shared" si="39"/>
        <v>160.16999999999999</v>
      </c>
      <c r="F641" s="123">
        <v>961</v>
      </c>
      <c r="H641" s="89"/>
      <c r="I641" s="89"/>
    </row>
    <row r="642" spans="1:11" s="83" customFormat="1" hidden="1" outlineLevel="2" x14ac:dyDescent="0.25">
      <c r="A642" s="144" t="s">
        <v>1232</v>
      </c>
      <c r="B642" s="70" t="s">
        <v>1035</v>
      </c>
      <c r="C642" s="91" t="s">
        <v>549</v>
      </c>
      <c r="D642" s="118">
        <f t="shared" si="41"/>
        <v>923.33</v>
      </c>
      <c r="E642" s="118">
        <f t="shared" si="39"/>
        <v>184.67</v>
      </c>
      <c r="F642" s="123">
        <v>1108</v>
      </c>
      <c r="H642" s="89"/>
      <c r="I642" s="89"/>
    </row>
    <row r="643" spans="1:11" s="83" customFormat="1" ht="18.75" hidden="1" outlineLevel="1" x14ac:dyDescent="0.25">
      <c r="A643" s="407" t="s">
        <v>1417</v>
      </c>
      <c r="B643" s="452"/>
      <c r="C643" s="452"/>
      <c r="D643" s="452"/>
      <c r="E643" s="452"/>
      <c r="F643" s="409"/>
      <c r="G643" s="146"/>
      <c r="H643" s="89"/>
      <c r="J643" s="89"/>
      <c r="K643" s="89"/>
    </row>
    <row r="644" spans="1:11" s="83" customFormat="1" hidden="1" outlineLevel="2" x14ac:dyDescent="0.25">
      <c r="A644" s="144" t="s">
        <v>1231</v>
      </c>
      <c r="B644" s="70" t="s">
        <v>1036</v>
      </c>
      <c r="C644" s="91" t="s">
        <v>549</v>
      </c>
      <c r="D644" s="118">
        <f t="shared" ref="D644" si="42">F644-E644</f>
        <v>1046.67</v>
      </c>
      <c r="E644" s="118">
        <f t="shared" ref="E644" si="43">ROUND(F644*$E$7/$F$7,2)</f>
        <v>209.33</v>
      </c>
      <c r="F644" s="123">
        <v>1256</v>
      </c>
      <c r="H644" s="89"/>
      <c r="I644" s="89"/>
    </row>
    <row r="645" spans="1:11" s="83" customFormat="1" ht="18.75" hidden="1" outlineLevel="1" x14ac:dyDescent="0.25">
      <c r="A645" s="407" t="s">
        <v>1425</v>
      </c>
      <c r="B645" s="452"/>
      <c r="C645" s="452"/>
      <c r="D645" s="452"/>
      <c r="E645" s="452"/>
      <c r="F645" s="409"/>
      <c r="H645" s="89"/>
      <c r="J645" s="89"/>
      <c r="K645" s="89"/>
    </row>
    <row r="646" spans="1:11" s="83" customFormat="1" hidden="1" outlineLevel="2" x14ac:dyDescent="0.25">
      <c r="A646" s="144" t="s">
        <v>1231</v>
      </c>
      <c r="B646" s="70" t="s">
        <v>1037</v>
      </c>
      <c r="C646" s="91" t="s">
        <v>549</v>
      </c>
      <c r="D646" s="118">
        <f t="shared" ref="D646:D647" si="44">F646-E646</f>
        <v>1175</v>
      </c>
      <c r="E646" s="118">
        <f t="shared" ref="E646:E647" si="45">ROUND(F646*$E$7/$F$7,2)</f>
        <v>235</v>
      </c>
      <c r="F646" s="123">
        <v>1410</v>
      </c>
      <c r="H646" s="89"/>
      <c r="I646" s="89"/>
    </row>
    <row r="647" spans="1:11" s="83" customFormat="1" hidden="1" outlineLevel="2" x14ac:dyDescent="0.25">
      <c r="A647" s="144" t="s">
        <v>1232</v>
      </c>
      <c r="B647" s="70" t="s">
        <v>1038</v>
      </c>
      <c r="C647" s="91" t="s">
        <v>549</v>
      </c>
      <c r="D647" s="118">
        <f t="shared" si="44"/>
        <v>1762.5</v>
      </c>
      <c r="E647" s="118">
        <f t="shared" si="45"/>
        <v>352.5</v>
      </c>
      <c r="F647" s="123">
        <v>2115</v>
      </c>
      <c r="H647" s="89"/>
      <c r="I647" s="89"/>
    </row>
    <row r="648" spans="1:11" s="83" customFormat="1" ht="18.75" hidden="1" outlineLevel="1" x14ac:dyDescent="0.25">
      <c r="A648" s="407" t="s">
        <v>1426</v>
      </c>
      <c r="B648" s="452"/>
      <c r="C648" s="452"/>
      <c r="D648" s="452"/>
      <c r="E648" s="452"/>
      <c r="F648" s="409"/>
      <c r="H648" s="89"/>
      <c r="J648" s="89"/>
      <c r="K648" s="89"/>
    </row>
    <row r="649" spans="1:11" s="83" customFormat="1" hidden="1" outlineLevel="2" x14ac:dyDescent="0.25">
      <c r="A649" s="144" t="s">
        <v>1231</v>
      </c>
      <c r="B649" s="70" t="s">
        <v>1039</v>
      </c>
      <c r="C649" s="93" t="s">
        <v>549</v>
      </c>
      <c r="D649" s="118">
        <f t="shared" ref="D649:D674" si="46">F649-E649</f>
        <v>283.33</v>
      </c>
      <c r="E649" s="118">
        <f t="shared" ref="E649:E702" si="47">ROUND(F649*$E$7/$F$7,2)</f>
        <v>56.67</v>
      </c>
      <c r="F649" s="123">
        <v>340</v>
      </c>
      <c r="H649" s="89"/>
      <c r="I649" s="89"/>
    </row>
    <row r="650" spans="1:11" s="83" customFormat="1" hidden="1" outlineLevel="2" x14ac:dyDescent="0.25">
      <c r="A650" s="144" t="s">
        <v>1232</v>
      </c>
      <c r="B650" s="70" t="s">
        <v>1040</v>
      </c>
      <c r="C650" s="93" t="s">
        <v>549</v>
      </c>
      <c r="D650" s="118">
        <f t="shared" si="46"/>
        <v>283.33</v>
      </c>
      <c r="E650" s="118">
        <f t="shared" si="47"/>
        <v>56.67</v>
      </c>
      <c r="F650" s="123">
        <v>340</v>
      </c>
      <c r="H650" s="89"/>
      <c r="I650" s="89"/>
    </row>
    <row r="651" spans="1:11" s="83" customFormat="1" hidden="1" outlineLevel="2" x14ac:dyDescent="0.25">
      <c r="A651" s="144" t="s">
        <v>1233</v>
      </c>
      <c r="B651" s="70" t="s">
        <v>1041</v>
      </c>
      <c r="C651" s="93" t="s">
        <v>549</v>
      </c>
      <c r="D651" s="118">
        <f t="shared" si="46"/>
        <v>283.33</v>
      </c>
      <c r="E651" s="118">
        <f t="shared" si="47"/>
        <v>56.67</v>
      </c>
      <c r="F651" s="123">
        <v>340</v>
      </c>
      <c r="H651" s="89"/>
      <c r="I651" s="89"/>
    </row>
    <row r="652" spans="1:11" s="83" customFormat="1" hidden="1" outlineLevel="2" x14ac:dyDescent="0.25">
      <c r="A652" s="144" t="s">
        <v>1234</v>
      </c>
      <c r="B652" s="70" t="s">
        <v>1042</v>
      </c>
      <c r="C652" s="93" t="s">
        <v>549</v>
      </c>
      <c r="D652" s="118">
        <f t="shared" si="46"/>
        <v>357.5</v>
      </c>
      <c r="E652" s="118">
        <f t="shared" si="47"/>
        <v>71.5</v>
      </c>
      <c r="F652" s="123">
        <v>429</v>
      </c>
      <c r="H652" s="89"/>
      <c r="I652" s="89"/>
    </row>
    <row r="653" spans="1:11" s="83" customFormat="1" hidden="1" outlineLevel="2" x14ac:dyDescent="0.25">
      <c r="A653" s="144" t="s">
        <v>1235</v>
      </c>
      <c r="B653" s="70" t="s">
        <v>1043</v>
      </c>
      <c r="C653" s="93" t="s">
        <v>549</v>
      </c>
      <c r="D653" s="118">
        <f t="shared" si="46"/>
        <v>283.33</v>
      </c>
      <c r="E653" s="118">
        <f t="shared" si="47"/>
        <v>56.67</v>
      </c>
      <c r="F653" s="123">
        <v>340</v>
      </c>
      <c r="H653" s="89"/>
      <c r="I653" s="89"/>
    </row>
    <row r="654" spans="1:11" s="83" customFormat="1" ht="15" hidden="1" customHeight="1" outlineLevel="2" x14ac:dyDescent="0.25">
      <c r="A654" s="144" t="s">
        <v>1236</v>
      </c>
      <c r="B654" s="70" t="s">
        <v>1044</v>
      </c>
      <c r="C654" s="93" t="s">
        <v>549</v>
      </c>
      <c r="D654" s="118">
        <f t="shared" si="46"/>
        <v>283.33</v>
      </c>
      <c r="E654" s="118">
        <f t="shared" si="47"/>
        <v>56.67</v>
      </c>
      <c r="F654" s="123">
        <v>340</v>
      </c>
      <c r="H654" s="89"/>
      <c r="I654" s="89"/>
    </row>
    <row r="655" spans="1:11" s="83" customFormat="1" ht="16.5" hidden="1" customHeight="1" outlineLevel="2" x14ac:dyDescent="0.25">
      <c r="A655" s="144" t="s">
        <v>1237</v>
      </c>
      <c r="B655" s="70" t="s">
        <v>1045</v>
      </c>
      <c r="C655" s="93" t="s">
        <v>549</v>
      </c>
      <c r="D655" s="118">
        <f t="shared" si="46"/>
        <v>283.33</v>
      </c>
      <c r="E655" s="118">
        <f t="shared" si="47"/>
        <v>56.67</v>
      </c>
      <c r="F655" s="123">
        <v>340</v>
      </c>
      <c r="H655" s="89"/>
      <c r="I655" s="89"/>
    </row>
    <row r="656" spans="1:11" s="83" customFormat="1" hidden="1" outlineLevel="2" x14ac:dyDescent="0.25">
      <c r="A656" s="144" t="s">
        <v>1238</v>
      </c>
      <c r="B656" s="70" t="s">
        <v>1046</v>
      </c>
      <c r="C656" s="93" t="s">
        <v>549</v>
      </c>
      <c r="D656" s="118">
        <f t="shared" si="46"/>
        <v>283.33</v>
      </c>
      <c r="E656" s="118">
        <f t="shared" si="47"/>
        <v>56.67</v>
      </c>
      <c r="F656" s="123">
        <v>340</v>
      </c>
      <c r="H656" s="89"/>
      <c r="I656" s="89"/>
    </row>
    <row r="657" spans="1:9" s="83" customFormat="1" hidden="1" outlineLevel="2" x14ac:dyDescent="0.25">
      <c r="A657" s="144" t="s">
        <v>1239</v>
      </c>
      <c r="B657" s="70" t="s">
        <v>1047</v>
      </c>
      <c r="C657" s="93" t="s">
        <v>549</v>
      </c>
      <c r="D657" s="118">
        <f t="shared" si="46"/>
        <v>283.33</v>
      </c>
      <c r="E657" s="118">
        <f t="shared" si="47"/>
        <v>56.67</v>
      </c>
      <c r="F657" s="123">
        <v>340</v>
      </c>
      <c r="H657" s="89"/>
      <c r="I657" s="89"/>
    </row>
    <row r="658" spans="1:9" s="83" customFormat="1" hidden="1" outlineLevel="2" x14ac:dyDescent="0.25">
      <c r="A658" s="144" t="s">
        <v>1240</v>
      </c>
      <c r="B658" s="70" t="s">
        <v>1048</v>
      </c>
      <c r="C658" s="93" t="s">
        <v>549</v>
      </c>
      <c r="D658" s="118">
        <f t="shared" si="46"/>
        <v>283.33</v>
      </c>
      <c r="E658" s="118">
        <f t="shared" si="47"/>
        <v>56.67</v>
      </c>
      <c r="F658" s="123">
        <v>340</v>
      </c>
      <c r="H658" s="89"/>
      <c r="I658" s="89"/>
    </row>
    <row r="659" spans="1:9" s="83" customFormat="1" hidden="1" outlineLevel="2" x14ac:dyDescent="0.25">
      <c r="A659" s="144" t="s">
        <v>1241</v>
      </c>
      <c r="B659" s="70" t="s">
        <v>1049</v>
      </c>
      <c r="C659" s="93" t="s">
        <v>549</v>
      </c>
      <c r="D659" s="118">
        <f t="shared" si="46"/>
        <v>283.33</v>
      </c>
      <c r="E659" s="118">
        <f t="shared" si="47"/>
        <v>56.67</v>
      </c>
      <c r="F659" s="123">
        <v>340</v>
      </c>
      <c r="H659" s="89"/>
      <c r="I659" s="89"/>
    </row>
    <row r="660" spans="1:9" s="83" customFormat="1" hidden="1" outlineLevel="2" x14ac:dyDescent="0.25">
      <c r="A660" s="144" t="s">
        <v>1242</v>
      </c>
      <c r="B660" s="70" t="s">
        <v>1050</v>
      </c>
      <c r="C660" s="93" t="s">
        <v>549</v>
      </c>
      <c r="D660" s="118">
        <f t="shared" si="46"/>
        <v>283.33</v>
      </c>
      <c r="E660" s="118">
        <f t="shared" si="47"/>
        <v>56.67</v>
      </c>
      <c r="F660" s="123">
        <v>340</v>
      </c>
      <c r="H660" s="89"/>
      <c r="I660" s="89"/>
    </row>
    <row r="661" spans="1:9" s="83" customFormat="1" hidden="1" outlineLevel="2" x14ac:dyDescent="0.25">
      <c r="A661" s="144" t="s">
        <v>1243</v>
      </c>
      <c r="B661" s="70" t="s">
        <v>1051</v>
      </c>
      <c r="C661" s="93" t="s">
        <v>549</v>
      </c>
      <c r="D661" s="118">
        <f t="shared" si="46"/>
        <v>283.33</v>
      </c>
      <c r="E661" s="118">
        <f t="shared" si="47"/>
        <v>56.67</v>
      </c>
      <c r="F661" s="123">
        <v>340</v>
      </c>
      <c r="H661" s="89"/>
      <c r="I661" s="89"/>
    </row>
    <row r="662" spans="1:9" s="83" customFormat="1" hidden="1" outlineLevel="2" x14ac:dyDescent="0.25">
      <c r="A662" s="144" t="s">
        <v>1244</v>
      </c>
      <c r="B662" s="70" t="s">
        <v>1052</v>
      </c>
      <c r="C662" s="93" t="s">
        <v>549</v>
      </c>
      <c r="D662" s="118">
        <f t="shared" si="46"/>
        <v>283.33</v>
      </c>
      <c r="E662" s="118">
        <f t="shared" si="47"/>
        <v>56.67</v>
      </c>
      <c r="F662" s="123">
        <v>340</v>
      </c>
      <c r="H662" s="89"/>
      <c r="I662" s="89"/>
    </row>
    <row r="663" spans="1:9" s="83" customFormat="1" hidden="1" outlineLevel="2" x14ac:dyDescent="0.25">
      <c r="A663" s="144" t="s">
        <v>1245</v>
      </c>
      <c r="B663" s="70" t="s">
        <v>1053</v>
      </c>
      <c r="C663" s="93" t="s">
        <v>549</v>
      </c>
      <c r="D663" s="118">
        <f t="shared" si="46"/>
        <v>283.33</v>
      </c>
      <c r="E663" s="118">
        <f t="shared" si="47"/>
        <v>56.67</v>
      </c>
      <c r="F663" s="123">
        <v>340</v>
      </c>
      <c r="H663" s="89"/>
      <c r="I663" s="89"/>
    </row>
    <row r="664" spans="1:9" s="83" customFormat="1" hidden="1" outlineLevel="2" x14ac:dyDescent="0.25">
      <c r="A664" s="144" t="s">
        <v>1246</v>
      </c>
      <c r="B664" s="70" t="s">
        <v>1054</v>
      </c>
      <c r="C664" s="93" t="s">
        <v>549</v>
      </c>
      <c r="D664" s="118">
        <f t="shared" si="46"/>
        <v>283.33</v>
      </c>
      <c r="E664" s="118">
        <f t="shared" si="47"/>
        <v>56.67</v>
      </c>
      <c r="F664" s="123">
        <v>340</v>
      </c>
      <c r="H664" s="89"/>
      <c r="I664" s="89"/>
    </row>
    <row r="665" spans="1:9" s="83" customFormat="1" hidden="1" outlineLevel="2" x14ac:dyDescent="0.25">
      <c r="A665" s="144" t="s">
        <v>1247</v>
      </c>
      <c r="B665" s="70" t="s">
        <v>1055</v>
      </c>
      <c r="C665" s="93" t="s">
        <v>549</v>
      </c>
      <c r="D665" s="118">
        <f t="shared" si="46"/>
        <v>283.33</v>
      </c>
      <c r="E665" s="118">
        <f t="shared" si="47"/>
        <v>56.67</v>
      </c>
      <c r="F665" s="123">
        <v>340</v>
      </c>
      <c r="H665" s="89"/>
      <c r="I665" s="89"/>
    </row>
    <row r="666" spans="1:9" s="83" customFormat="1" hidden="1" outlineLevel="2" x14ac:dyDescent="0.25">
      <c r="A666" s="144" t="s">
        <v>1248</v>
      </c>
      <c r="B666" s="70" t="s">
        <v>1056</v>
      </c>
      <c r="C666" s="93" t="s">
        <v>549</v>
      </c>
      <c r="D666" s="118">
        <f t="shared" si="46"/>
        <v>283.33</v>
      </c>
      <c r="E666" s="118">
        <f t="shared" si="47"/>
        <v>56.67</v>
      </c>
      <c r="F666" s="123">
        <v>340</v>
      </c>
      <c r="H666" s="89"/>
      <c r="I666" s="89"/>
    </row>
    <row r="667" spans="1:9" s="83" customFormat="1" hidden="1" outlineLevel="2" x14ac:dyDescent="0.25">
      <c r="A667" s="144" t="s">
        <v>1249</v>
      </c>
      <c r="B667" s="70" t="s">
        <v>1057</v>
      </c>
      <c r="C667" s="93" t="s">
        <v>549</v>
      </c>
      <c r="D667" s="118">
        <f t="shared" si="46"/>
        <v>283.33</v>
      </c>
      <c r="E667" s="118">
        <f t="shared" si="47"/>
        <v>56.67</v>
      </c>
      <c r="F667" s="123">
        <v>340</v>
      </c>
      <c r="H667" s="89"/>
      <c r="I667" s="89"/>
    </row>
    <row r="668" spans="1:9" s="83" customFormat="1" hidden="1" outlineLevel="2" x14ac:dyDescent="0.25">
      <c r="A668" s="144" t="s">
        <v>1250</v>
      </c>
      <c r="B668" s="70" t="s">
        <v>1058</v>
      </c>
      <c r="C668" s="93" t="s">
        <v>549</v>
      </c>
      <c r="D668" s="118">
        <f t="shared" si="46"/>
        <v>283.33</v>
      </c>
      <c r="E668" s="118">
        <f t="shared" si="47"/>
        <v>56.67</v>
      </c>
      <c r="F668" s="123">
        <v>340</v>
      </c>
      <c r="H668" s="89"/>
      <c r="I668" s="89"/>
    </row>
    <row r="669" spans="1:9" s="83" customFormat="1" hidden="1" outlineLevel="2" x14ac:dyDescent="0.25">
      <c r="A669" s="144" t="s">
        <v>1251</v>
      </c>
      <c r="B669" s="70" t="s">
        <v>1059</v>
      </c>
      <c r="C669" s="93" t="s">
        <v>549</v>
      </c>
      <c r="D669" s="118">
        <f t="shared" si="46"/>
        <v>283.33</v>
      </c>
      <c r="E669" s="118">
        <f t="shared" si="47"/>
        <v>56.67</v>
      </c>
      <c r="F669" s="123">
        <v>340</v>
      </c>
      <c r="H669" s="89"/>
      <c r="I669" s="89"/>
    </row>
    <row r="670" spans="1:9" s="83" customFormat="1" hidden="1" outlineLevel="2" x14ac:dyDescent="0.25">
      <c r="A670" s="144" t="s">
        <v>1252</v>
      </c>
      <c r="B670" s="70" t="s">
        <v>1060</v>
      </c>
      <c r="C670" s="93" t="s">
        <v>549</v>
      </c>
      <c r="D670" s="118">
        <f t="shared" si="46"/>
        <v>283.33</v>
      </c>
      <c r="E670" s="118">
        <f t="shared" si="47"/>
        <v>56.67</v>
      </c>
      <c r="F670" s="123">
        <v>340</v>
      </c>
      <c r="H670" s="89"/>
      <c r="I670" s="89"/>
    </row>
    <row r="671" spans="1:9" s="83" customFormat="1" hidden="1" outlineLevel="2" x14ac:dyDescent="0.25">
      <c r="A671" s="144" t="s">
        <v>1253</v>
      </c>
      <c r="B671" s="70" t="s">
        <v>1061</v>
      </c>
      <c r="C671" s="93" t="s">
        <v>549</v>
      </c>
      <c r="D671" s="118">
        <f t="shared" si="46"/>
        <v>283.33</v>
      </c>
      <c r="E671" s="118">
        <f t="shared" si="47"/>
        <v>56.67</v>
      </c>
      <c r="F671" s="123">
        <v>340</v>
      </c>
      <c r="H671" s="89"/>
      <c r="I671" s="89"/>
    </row>
    <row r="672" spans="1:9" s="83" customFormat="1" hidden="1" outlineLevel="2" x14ac:dyDescent="0.25">
      <c r="A672" s="144" t="s">
        <v>1254</v>
      </c>
      <c r="B672" s="70" t="s">
        <v>1062</v>
      </c>
      <c r="C672" s="93" t="s">
        <v>549</v>
      </c>
      <c r="D672" s="118">
        <f t="shared" si="46"/>
        <v>283.33</v>
      </c>
      <c r="E672" s="118">
        <f t="shared" si="47"/>
        <v>56.67</v>
      </c>
      <c r="F672" s="123">
        <v>340</v>
      </c>
      <c r="H672" s="89"/>
      <c r="I672" s="89"/>
    </row>
    <row r="673" spans="1:11" s="83" customFormat="1" hidden="1" outlineLevel="2" x14ac:dyDescent="0.25">
      <c r="A673" s="144" t="s">
        <v>1255</v>
      </c>
      <c r="B673" s="70" t="s">
        <v>1063</v>
      </c>
      <c r="C673" s="93" t="s">
        <v>549</v>
      </c>
      <c r="D673" s="118">
        <f t="shared" si="46"/>
        <v>300.83</v>
      </c>
      <c r="E673" s="118">
        <f t="shared" si="47"/>
        <v>60.17</v>
      </c>
      <c r="F673" s="123">
        <v>361</v>
      </c>
      <c r="H673" s="89"/>
      <c r="I673" s="89"/>
    </row>
    <row r="674" spans="1:11" s="83" customFormat="1" hidden="1" outlineLevel="2" x14ac:dyDescent="0.25">
      <c r="A674" s="144" t="s">
        <v>1256</v>
      </c>
      <c r="B674" s="70" t="s">
        <v>1064</v>
      </c>
      <c r="C674" s="93" t="s">
        <v>549</v>
      </c>
      <c r="D674" s="118">
        <f t="shared" si="46"/>
        <v>308.33</v>
      </c>
      <c r="E674" s="118">
        <f t="shared" si="47"/>
        <v>61.67</v>
      </c>
      <c r="F674" s="123">
        <v>370</v>
      </c>
      <c r="H674" s="89"/>
      <c r="I674" s="89"/>
    </row>
    <row r="675" spans="1:11" s="83" customFormat="1" ht="18.75" hidden="1" outlineLevel="1" x14ac:dyDescent="0.25">
      <c r="A675" s="407" t="s">
        <v>1427</v>
      </c>
      <c r="B675" s="452"/>
      <c r="C675" s="452"/>
      <c r="D675" s="452"/>
      <c r="E675" s="452"/>
      <c r="F675" s="409"/>
      <c r="H675" s="89"/>
      <c r="J675" s="89"/>
      <c r="K675" s="89"/>
    </row>
    <row r="676" spans="1:11" s="83" customFormat="1" hidden="1" outlineLevel="2" x14ac:dyDescent="0.25">
      <c r="A676" s="144" t="s">
        <v>1231</v>
      </c>
      <c r="B676" s="70" t="s">
        <v>1065</v>
      </c>
      <c r="C676" s="93" t="s">
        <v>549</v>
      </c>
      <c r="D676" s="118">
        <f t="shared" ref="D676:D702" si="48">F676-E676</f>
        <v>283.33</v>
      </c>
      <c r="E676" s="118">
        <f t="shared" si="47"/>
        <v>56.67</v>
      </c>
      <c r="F676" s="123">
        <v>340</v>
      </c>
      <c r="H676" s="89"/>
      <c r="I676" s="89"/>
    </row>
    <row r="677" spans="1:11" s="83" customFormat="1" hidden="1" outlineLevel="2" x14ac:dyDescent="0.25">
      <c r="A677" s="144" t="s">
        <v>1232</v>
      </c>
      <c r="B677" s="70" t="s">
        <v>1066</v>
      </c>
      <c r="C677" s="93" t="s">
        <v>549</v>
      </c>
      <c r="D677" s="118">
        <f t="shared" si="48"/>
        <v>283.33</v>
      </c>
      <c r="E677" s="118">
        <f t="shared" si="47"/>
        <v>56.67</v>
      </c>
      <c r="F677" s="123">
        <v>340</v>
      </c>
      <c r="H677" s="89"/>
      <c r="I677" s="89"/>
    </row>
    <row r="678" spans="1:11" s="83" customFormat="1" hidden="1" outlineLevel="2" x14ac:dyDescent="0.25">
      <c r="A678" s="144" t="s">
        <v>1233</v>
      </c>
      <c r="B678" s="70" t="s">
        <v>1067</v>
      </c>
      <c r="C678" s="93" t="s">
        <v>549</v>
      </c>
      <c r="D678" s="118">
        <f t="shared" si="48"/>
        <v>369.17</v>
      </c>
      <c r="E678" s="118">
        <f t="shared" si="47"/>
        <v>73.83</v>
      </c>
      <c r="F678" s="123">
        <v>443</v>
      </c>
      <c r="H678" s="89"/>
      <c r="I678" s="89"/>
    </row>
    <row r="679" spans="1:11" s="83" customFormat="1" hidden="1" outlineLevel="2" x14ac:dyDescent="0.25">
      <c r="A679" s="144" t="s">
        <v>1234</v>
      </c>
      <c r="B679" s="70" t="s">
        <v>1068</v>
      </c>
      <c r="C679" s="93" t="s">
        <v>549</v>
      </c>
      <c r="D679" s="118">
        <f t="shared" si="48"/>
        <v>369.17</v>
      </c>
      <c r="E679" s="118">
        <f t="shared" si="47"/>
        <v>73.83</v>
      </c>
      <c r="F679" s="123">
        <v>443</v>
      </c>
      <c r="H679" s="89"/>
      <c r="I679" s="89"/>
    </row>
    <row r="680" spans="1:11" s="83" customFormat="1" hidden="1" outlineLevel="2" x14ac:dyDescent="0.25">
      <c r="A680" s="144" t="s">
        <v>1235</v>
      </c>
      <c r="B680" s="70" t="s">
        <v>1069</v>
      </c>
      <c r="C680" s="93" t="s">
        <v>549</v>
      </c>
      <c r="D680" s="118">
        <f t="shared" si="48"/>
        <v>283.33</v>
      </c>
      <c r="E680" s="118">
        <f t="shared" si="47"/>
        <v>56.67</v>
      </c>
      <c r="F680" s="123">
        <v>340</v>
      </c>
      <c r="H680" s="89"/>
      <c r="I680" s="89"/>
    </row>
    <row r="681" spans="1:11" s="83" customFormat="1" hidden="1" outlineLevel="2" x14ac:dyDescent="0.25">
      <c r="A681" s="144" t="s">
        <v>1236</v>
      </c>
      <c r="B681" s="70" t="s">
        <v>1070</v>
      </c>
      <c r="C681" s="93" t="s">
        <v>549</v>
      </c>
      <c r="D681" s="118">
        <f t="shared" si="48"/>
        <v>283.33</v>
      </c>
      <c r="E681" s="118">
        <f t="shared" si="47"/>
        <v>56.67</v>
      </c>
      <c r="F681" s="123">
        <v>340</v>
      </c>
      <c r="H681" s="89"/>
      <c r="I681" s="89"/>
    </row>
    <row r="682" spans="1:11" s="83" customFormat="1" hidden="1" outlineLevel="2" x14ac:dyDescent="0.25">
      <c r="A682" s="144" t="s">
        <v>1237</v>
      </c>
      <c r="B682" s="70" t="s">
        <v>1071</v>
      </c>
      <c r="C682" s="93" t="s">
        <v>549</v>
      </c>
      <c r="D682" s="118">
        <f t="shared" si="48"/>
        <v>369.17</v>
      </c>
      <c r="E682" s="118">
        <f t="shared" si="47"/>
        <v>73.83</v>
      </c>
      <c r="F682" s="123">
        <v>443</v>
      </c>
      <c r="H682" s="89"/>
      <c r="I682" s="89"/>
    </row>
    <row r="683" spans="1:11" s="83" customFormat="1" hidden="1" outlineLevel="2" x14ac:dyDescent="0.25">
      <c r="A683" s="144" t="s">
        <v>1238</v>
      </c>
      <c r="B683" s="70" t="s">
        <v>1072</v>
      </c>
      <c r="C683" s="93" t="s">
        <v>549</v>
      </c>
      <c r="D683" s="118">
        <f t="shared" si="48"/>
        <v>369.17</v>
      </c>
      <c r="E683" s="118">
        <f t="shared" si="47"/>
        <v>73.83</v>
      </c>
      <c r="F683" s="123">
        <v>443</v>
      </c>
      <c r="H683" s="89"/>
      <c r="I683" s="89"/>
    </row>
    <row r="684" spans="1:11" s="83" customFormat="1" hidden="1" outlineLevel="2" x14ac:dyDescent="0.25">
      <c r="A684" s="144" t="s">
        <v>1239</v>
      </c>
      <c r="B684" s="70" t="s">
        <v>1073</v>
      </c>
      <c r="C684" s="93" t="s">
        <v>549</v>
      </c>
      <c r="D684" s="118">
        <f t="shared" si="48"/>
        <v>283.33</v>
      </c>
      <c r="E684" s="118">
        <f t="shared" si="47"/>
        <v>56.67</v>
      </c>
      <c r="F684" s="123">
        <v>340</v>
      </c>
      <c r="H684" s="89"/>
      <c r="I684" s="89"/>
    </row>
    <row r="685" spans="1:11" s="83" customFormat="1" hidden="1" outlineLevel="2" x14ac:dyDescent="0.25">
      <c r="A685" s="144" t="s">
        <v>1240</v>
      </c>
      <c r="B685" s="70" t="s">
        <v>1074</v>
      </c>
      <c r="C685" s="93" t="s">
        <v>549</v>
      </c>
      <c r="D685" s="118">
        <f t="shared" si="48"/>
        <v>283.33</v>
      </c>
      <c r="E685" s="118">
        <f t="shared" si="47"/>
        <v>56.67</v>
      </c>
      <c r="F685" s="123">
        <v>340</v>
      </c>
      <c r="H685" s="89"/>
      <c r="I685" s="89"/>
    </row>
    <row r="686" spans="1:11" s="83" customFormat="1" hidden="1" outlineLevel="2" x14ac:dyDescent="0.25">
      <c r="A686" s="144" t="s">
        <v>1241</v>
      </c>
      <c r="B686" s="70" t="s">
        <v>1075</v>
      </c>
      <c r="C686" s="93" t="s">
        <v>549</v>
      </c>
      <c r="D686" s="118">
        <f t="shared" si="48"/>
        <v>283.33</v>
      </c>
      <c r="E686" s="118">
        <f t="shared" si="47"/>
        <v>56.67</v>
      </c>
      <c r="F686" s="123">
        <v>340</v>
      </c>
      <c r="H686" s="89"/>
      <c r="I686" s="89"/>
    </row>
    <row r="687" spans="1:11" s="83" customFormat="1" hidden="1" outlineLevel="2" x14ac:dyDescent="0.25">
      <c r="A687" s="144" t="s">
        <v>1242</v>
      </c>
      <c r="B687" s="70" t="s">
        <v>282</v>
      </c>
      <c r="C687" s="93" t="s">
        <v>549</v>
      </c>
      <c r="D687" s="118">
        <f t="shared" si="48"/>
        <v>283.33</v>
      </c>
      <c r="E687" s="118">
        <f t="shared" si="47"/>
        <v>56.67</v>
      </c>
      <c r="F687" s="123">
        <v>340</v>
      </c>
      <c r="H687" s="89"/>
      <c r="I687" s="89"/>
    </row>
    <row r="688" spans="1:11" s="83" customFormat="1" ht="15" hidden="1" customHeight="1" outlineLevel="2" x14ac:dyDescent="0.25">
      <c r="A688" s="144" t="s">
        <v>1243</v>
      </c>
      <c r="B688" s="70" t="s">
        <v>1076</v>
      </c>
      <c r="C688" s="93" t="s">
        <v>549</v>
      </c>
      <c r="D688" s="118">
        <f t="shared" si="48"/>
        <v>283.33</v>
      </c>
      <c r="E688" s="118">
        <f t="shared" si="47"/>
        <v>56.67</v>
      </c>
      <c r="F688" s="123">
        <v>340</v>
      </c>
      <c r="H688" s="89"/>
      <c r="I688" s="89"/>
    </row>
    <row r="689" spans="1:11" s="83" customFormat="1" hidden="1" outlineLevel="2" x14ac:dyDescent="0.25">
      <c r="A689" s="144" t="s">
        <v>1244</v>
      </c>
      <c r="B689" s="70" t="s">
        <v>1077</v>
      </c>
      <c r="C689" s="93" t="s">
        <v>549</v>
      </c>
      <c r="D689" s="118">
        <f t="shared" si="48"/>
        <v>283.33</v>
      </c>
      <c r="E689" s="118">
        <f t="shared" si="47"/>
        <v>56.67</v>
      </c>
      <c r="F689" s="123">
        <v>340</v>
      </c>
      <c r="H689" s="89"/>
      <c r="I689" s="89"/>
    </row>
    <row r="690" spans="1:11" s="83" customFormat="1" hidden="1" outlineLevel="2" x14ac:dyDescent="0.25">
      <c r="A690" s="144" t="s">
        <v>1245</v>
      </c>
      <c r="B690" s="70" t="s">
        <v>1078</v>
      </c>
      <c r="C690" s="93" t="s">
        <v>549</v>
      </c>
      <c r="D690" s="118">
        <f t="shared" si="48"/>
        <v>283.33</v>
      </c>
      <c r="E690" s="118">
        <f t="shared" si="47"/>
        <v>56.67</v>
      </c>
      <c r="F690" s="123">
        <v>340</v>
      </c>
      <c r="H690" s="89"/>
      <c r="I690" s="89"/>
    </row>
    <row r="691" spans="1:11" s="83" customFormat="1" hidden="1" outlineLevel="2" x14ac:dyDescent="0.25">
      <c r="A691" s="144" t="s">
        <v>1246</v>
      </c>
      <c r="B691" s="70" t="s">
        <v>1079</v>
      </c>
      <c r="C691" s="93" t="s">
        <v>549</v>
      </c>
      <c r="D691" s="118">
        <f t="shared" si="48"/>
        <v>283.33</v>
      </c>
      <c r="E691" s="118">
        <f t="shared" si="47"/>
        <v>56.67</v>
      </c>
      <c r="F691" s="123">
        <v>340</v>
      </c>
      <c r="H691" s="89"/>
      <c r="I691" s="89"/>
    </row>
    <row r="692" spans="1:11" s="83" customFormat="1" hidden="1" outlineLevel="2" x14ac:dyDescent="0.25">
      <c r="A692" s="144" t="s">
        <v>1247</v>
      </c>
      <c r="B692" s="70" t="s">
        <v>1080</v>
      </c>
      <c r="C692" s="93" t="s">
        <v>549</v>
      </c>
      <c r="D692" s="118">
        <f t="shared" si="48"/>
        <v>283.33</v>
      </c>
      <c r="E692" s="118">
        <f t="shared" si="47"/>
        <v>56.67</v>
      </c>
      <c r="F692" s="123">
        <v>340</v>
      </c>
      <c r="H692" s="89"/>
      <c r="I692" s="89"/>
    </row>
    <row r="693" spans="1:11" s="83" customFormat="1" hidden="1" outlineLevel="2" x14ac:dyDescent="0.25">
      <c r="A693" s="144" t="s">
        <v>1248</v>
      </c>
      <c r="B693" s="70" t="s">
        <v>1081</v>
      </c>
      <c r="C693" s="93" t="s">
        <v>549</v>
      </c>
      <c r="D693" s="118">
        <f t="shared" si="48"/>
        <v>221.67000000000002</v>
      </c>
      <c r="E693" s="118">
        <f t="shared" si="47"/>
        <v>44.33</v>
      </c>
      <c r="F693" s="123">
        <v>266</v>
      </c>
      <c r="H693" s="89"/>
      <c r="I693" s="89"/>
    </row>
    <row r="694" spans="1:11" s="83" customFormat="1" hidden="1" outlineLevel="2" x14ac:dyDescent="0.25">
      <c r="A694" s="144" t="s">
        <v>1249</v>
      </c>
      <c r="B694" s="70" t="s">
        <v>1082</v>
      </c>
      <c r="C694" s="93" t="s">
        <v>549</v>
      </c>
      <c r="D694" s="118">
        <f t="shared" si="48"/>
        <v>369.17</v>
      </c>
      <c r="E694" s="118">
        <f t="shared" si="47"/>
        <v>73.83</v>
      </c>
      <c r="F694" s="123">
        <v>443</v>
      </c>
      <c r="H694" s="89"/>
      <c r="I694" s="89"/>
    </row>
    <row r="695" spans="1:11" s="83" customFormat="1" hidden="1" outlineLevel="2" x14ac:dyDescent="0.25">
      <c r="A695" s="144" t="s">
        <v>1250</v>
      </c>
      <c r="B695" s="70" t="s">
        <v>1083</v>
      </c>
      <c r="C695" s="93" t="s">
        <v>549</v>
      </c>
      <c r="D695" s="118">
        <f t="shared" si="48"/>
        <v>369.17</v>
      </c>
      <c r="E695" s="118">
        <f t="shared" si="47"/>
        <v>73.83</v>
      </c>
      <c r="F695" s="123">
        <v>443</v>
      </c>
      <c r="H695" s="89"/>
      <c r="I695" s="89"/>
    </row>
    <row r="696" spans="1:11" s="83" customFormat="1" hidden="1" outlineLevel="2" x14ac:dyDescent="0.25">
      <c r="A696" s="144" t="s">
        <v>1251</v>
      </c>
      <c r="B696" s="70" t="s">
        <v>1084</v>
      </c>
      <c r="C696" s="93" t="s">
        <v>549</v>
      </c>
      <c r="D696" s="118">
        <f t="shared" si="48"/>
        <v>369.17</v>
      </c>
      <c r="E696" s="118">
        <f t="shared" si="47"/>
        <v>73.83</v>
      </c>
      <c r="F696" s="123">
        <v>443</v>
      </c>
      <c r="H696" s="89"/>
      <c r="I696" s="89"/>
    </row>
    <row r="697" spans="1:11" s="83" customFormat="1" hidden="1" outlineLevel="2" x14ac:dyDescent="0.25">
      <c r="A697" s="144" t="s">
        <v>1252</v>
      </c>
      <c r="B697" s="70" t="s">
        <v>1085</v>
      </c>
      <c r="C697" s="93" t="s">
        <v>549</v>
      </c>
      <c r="D697" s="118">
        <f t="shared" si="48"/>
        <v>369.17</v>
      </c>
      <c r="E697" s="118">
        <f t="shared" si="47"/>
        <v>73.83</v>
      </c>
      <c r="F697" s="123">
        <v>443</v>
      </c>
      <c r="H697" s="89"/>
      <c r="I697" s="89"/>
    </row>
    <row r="698" spans="1:11" s="83" customFormat="1" hidden="1" outlineLevel="2" x14ac:dyDescent="0.25">
      <c r="A698" s="144" t="s">
        <v>1253</v>
      </c>
      <c r="B698" s="70" t="s">
        <v>1086</v>
      </c>
      <c r="C698" s="93" t="s">
        <v>549</v>
      </c>
      <c r="D698" s="118">
        <f t="shared" si="48"/>
        <v>369.17</v>
      </c>
      <c r="E698" s="118">
        <f t="shared" si="47"/>
        <v>73.83</v>
      </c>
      <c r="F698" s="123">
        <v>443</v>
      </c>
      <c r="H698" s="89"/>
      <c r="I698" s="89"/>
    </row>
    <row r="699" spans="1:11" s="83" customFormat="1" hidden="1" outlineLevel="2" x14ac:dyDescent="0.25">
      <c r="A699" s="144" t="s">
        <v>1254</v>
      </c>
      <c r="B699" s="70" t="s">
        <v>1087</v>
      </c>
      <c r="C699" s="93" t="s">
        <v>549</v>
      </c>
      <c r="D699" s="118">
        <f t="shared" si="48"/>
        <v>283.33</v>
      </c>
      <c r="E699" s="118">
        <f t="shared" si="47"/>
        <v>56.67</v>
      </c>
      <c r="F699" s="123">
        <v>340</v>
      </c>
      <c r="H699" s="89"/>
      <c r="I699" s="89"/>
    </row>
    <row r="700" spans="1:11" s="83" customFormat="1" hidden="1" outlineLevel="2" x14ac:dyDescent="0.25">
      <c r="A700" s="144" t="s">
        <v>1255</v>
      </c>
      <c r="B700" s="70" t="s">
        <v>1088</v>
      </c>
      <c r="C700" s="93" t="s">
        <v>549</v>
      </c>
      <c r="D700" s="118">
        <f t="shared" si="48"/>
        <v>369.17</v>
      </c>
      <c r="E700" s="118">
        <f t="shared" si="47"/>
        <v>73.83</v>
      </c>
      <c r="F700" s="123">
        <v>443</v>
      </c>
      <c r="H700" s="89"/>
      <c r="I700" s="89"/>
    </row>
    <row r="701" spans="1:11" s="83" customFormat="1" hidden="1" outlineLevel="2" x14ac:dyDescent="0.25">
      <c r="A701" s="144" t="s">
        <v>1256</v>
      </c>
      <c r="B701" s="70" t="s">
        <v>1089</v>
      </c>
      <c r="C701" s="93" t="s">
        <v>549</v>
      </c>
      <c r="D701" s="118">
        <f t="shared" si="48"/>
        <v>283.33</v>
      </c>
      <c r="E701" s="118">
        <f t="shared" si="47"/>
        <v>56.67</v>
      </c>
      <c r="F701" s="123">
        <v>340</v>
      </c>
      <c r="H701" s="89"/>
      <c r="I701" s="89"/>
    </row>
    <row r="702" spans="1:11" s="83" customFormat="1" hidden="1" outlineLevel="2" x14ac:dyDescent="0.25">
      <c r="A702" s="144" t="s">
        <v>1257</v>
      </c>
      <c r="B702" s="70" t="s">
        <v>1090</v>
      </c>
      <c r="C702" s="91" t="s">
        <v>549</v>
      </c>
      <c r="D702" s="118">
        <f t="shared" si="48"/>
        <v>380</v>
      </c>
      <c r="E702" s="118">
        <f t="shared" si="47"/>
        <v>76</v>
      </c>
      <c r="F702" s="123">
        <v>456</v>
      </c>
      <c r="H702" s="89"/>
      <c r="I702" s="89"/>
    </row>
    <row r="703" spans="1:11" s="83" customFormat="1" ht="18.75" hidden="1" outlineLevel="1" x14ac:dyDescent="0.25">
      <c r="A703" s="407" t="s">
        <v>1428</v>
      </c>
      <c r="B703" s="452"/>
      <c r="C703" s="452"/>
      <c r="D703" s="452"/>
      <c r="E703" s="452"/>
      <c r="F703" s="409"/>
      <c r="H703" s="89"/>
      <c r="J703" s="89"/>
      <c r="K703" s="89"/>
    </row>
    <row r="704" spans="1:11" s="83" customFormat="1" hidden="1" outlineLevel="2" x14ac:dyDescent="0.25">
      <c r="A704" s="144" t="s">
        <v>1231</v>
      </c>
      <c r="B704" s="70" t="s">
        <v>1091</v>
      </c>
      <c r="C704" s="93" t="s">
        <v>549</v>
      </c>
      <c r="D704" s="118">
        <f t="shared" ref="D704:D715" si="49">F704-E704</f>
        <v>270.83</v>
      </c>
      <c r="E704" s="118">
        <f t="shared" ref="E704:E733" si="50">ROUND(F704*$E$7/$F$7,2)</f>
        <v>54.17</v>
      </c>
      <c r="F704" s="123">
        <v>325</v>
      </c>
      <c r="H704" s="89"/>
      <c r="I704" s="89"/>
    </row>
    <row r="705" spans="1:11" s="83" customFormat="1" hidden="1" outlineLevel="2" x14ac:dyDescent="0.25">
      <c r="A705" s="144" t="s">
        <v>1232</v>
      </c>
      <c r="B705" s="70" t="s">
        <v>1092</v>
      </c>
      <c r="C705" s="93" t="s">
        <v>549</v>
      </c>
      <c r="D705" s="118">
        <f t="shared" si="49"/>
        <v>221.67000000000002</v>
      </c>
      <c r="E705" s="118">
        <f t="shared" si="50"/>
        <v>44.33</v>
      </c>
      <c r="F705" s="123">
        <v>266</v>
      </c>
      <c r="H705" s="89"/>
      <c r="I705" s="89"/>
    </row>
    <row r="706" spans="1:11" s="83" customFormat="1" hidden="1" outlineLevel="2" x14ac:dyDescent="0.25">
      <c r="A706" s="144" t="s">
        <v>1233</v>
      </c>
      <c r="B706" s="70" t="s">
        <v>1093</v>
      </c>
      <c r="C706" s="93" t="s">
        <v>549</v>
      </c>
      <c r="D706" s="118">
        <f t="shared" si="49"/>
        <v>283.33</v>
      </c>
      <c r="E706" s="118">
        <f t="shared" si="50"/>
        <v>56.67</v>
      </c>
      <c r="F706" s="123">
        <v>340</v>
      </c>
      <c r="H706" s="89"/>
      <c r="I706" s="89"/>
    </row>
    <row r="707" spans="1:11" s="83" customFormat="1" hidden="1" outlineLevel="2" x14ac:dyDescent="0.25">
      <c r="A707" s="144" t="s">
        <v>1234</v>
      </c>
      <c r="B707" s="70" t="s">
        <v>1094</v>
      </c>
      <c r="C707" s="93" t="s">
        <v>549</v>
      </c>
      <c r="D707" s="118">
        <f t="shared" si="49"/>
        <v>283.33</v>
      </c>
      <c r="E707" s="118">
        <f t="shared" si="50"/>
        <v>56.67</v>
      </c>
      <c r="F707" s="123">
        <v>340</v>
      </c>
      <c r="H707" s="89"/>
      <c r="I707" s="89"/>
    </row>
    <row r="708" spans="1:11" s="83" customFormat="1" hidden="1" outlineLevel="2" x14ac:dyDescent="0.25">
      <c r="A708" s="144" t="s">
        <v>1235</v>
      </c>
      <c r="B708" s="70" t="s">
        <v>1095</v>
      </c>
      <c r="C708" s="93" t="s">
        <v>549</v>
      </c>
      <c r="D708" s="118">
        <f t="shared" si="49"/>
        <v>283.33</v>
      </c>
      <c r="E708" s="118">
        <f t="shared" si="50"/>
        <v>56.67</v>
      </c>
      <c r="F708" s="123">
        <v>340</v>
      </c>
      <c r="H708" s="89"/>
      <c r="I708" s="89"/>
    </row>
    <row r="709" spans="1:11" s="83" customFormat="1" hidden="1" outlineLevel="2" x14ac:dyDescent="0.25">
      <c r="A709" s="144" t="s">
        <v>1236</v>
      </c>
      <c r="B709" s="70" t="s">
        <v>1096</v>
      </c>
      <c r="C709" s="93" t="s">
        <v>549</v>
      </c>
      <c r="D709" s="118">
        <f t="shared" si="49"/>
        <v>283.33</v>
      </c>
      <c r="E709" s="118">
        <f t="shared" si="50"/>
        <v>56.67</v>
      </c>
      <c r="F709" s="123">
        <v>340</v>
      </c>
      <c r="H709" s="89"/>
      <c r="I709" s="89"/>
    </row>
    <row r="710" spans="1:11" s="83" customFormat="1" hidden="1" outlineLevel="2" x14ac:dyDescent="0.25">
      <c r="A710" s="144" t="s">
        <v>1237</v>
      </c>
      <c r="B710" s="70" t="s">
        <v>1097</v>
      </c>
      <c r="C710" s="93" t="s">
        <v>549</v>
      </c>
      <c r="D710" s="118">
        <f t="shared" si="49"/>
        <v>283.33</v>
      </c>
      <c r="E710" s="118">
        <f t="shared" si="50"/>
        <v>56.67</v>
      </c>
      <c r="F710" s="123">
        <v>340</v>
      </c>
      <c r="H710" s="89"/>
      <c r="I710" s="89"/>
    </row>
    <row r="711" spans="1:11" s="83" customFormat="1" hidden="1" outlineLevel="2" x14ac:dyDescent="0.25">
      <c r="A711" s="144" t="s">
        <v>1238</v>
      </c>
      <c r="B711" s="70" t="s">
        <v>1408</v>
      </c>
      <c r="C711" s="93" t="s">
        <v>549</v>
      </c>
      <c r="D711" s="118">
        <f t="shared" si="49"/>
        <v>283.33</v>
      </c>
      <c r="E711" s="118">
        <f t="shared" si="50"/>
        <v>56.67</v>
      </c>
      <c r="F711" s="123">
        <v>340</v>
      </c>
      <c r="H711" s="89"/>
      <c r="I711" s="89"/>
    </row>
    <row r="712" spans="1:11" s="83" customFormat="1" hidden="1" outlineLevel="2" x14ac:dyDescent="0.25">
      <c r="A712" s="144" t="s">
        <v>1239</v>
      </c>
      <c r="B712" s="70" t="s">
        <v>1098</v>
      </c>
      <c r="C712" s="93" t="s">
        <v>549</v>
      </c>
      <c r="D712" s="118">
        <f t="shared" si="49"/>
        <v>283.33</v>
      </c>
      <c r="E712" s="118">
        <f t="shared" si="50"/>
        <v>56.67</v>
      </c>
      <c r="F712" s="123">
        <v>340</v>
      </c>
      <c r="H712" s="89"/>
      <c r="I712" s="89"/>
    </row>
    <row r="713" spans="1:11" s="83" customFormat="1" hidden="1" outlineLevel="2" x14ac:dyDescent="0.25">
      <c r="A713" s="144" t="s">
        <v>1240</v>
      </c>
      <c r="B713" s="70" t="s">
        <v>1099</v>
      </c>
      <c r="C713" s="93" t="s">
        <v>549</v>
      </c>
      <c r="D713" s="118">
        <f t="shared" si="49"/>
        <v>283.33</v>
      </c>
      <c r="E713" s="118">
        <f t="shared" si="50"/>
        <v>56.67</v>
      </c>
      <c r="F713" s="123">
        <v>340</v>
      </c>
      <c r="H713" s="89"/>
      <c r="I713" s="89"/>
    </row>
    <row r="714" spans="1:11" s="83" customFormat="1" hidden="1" outlineLevel="2" x14ac:dyDescent="0.25">
      <c r="A714" s="144" t="s">
        <v>1241</v>
      </c>
      <c r="B714" s="70" t="s">
        <v>1100</v>
      </c>
      <c r="C714" s="93" t="s">
        <v>549</v>
      </c>
      <c r="D714" s="118">
        <f t="shared" si="49"/>
        <v>283.33</v>
      </c>
      <c r="E714" s="118">
        <f t="shared" si="50"/>
        <v>56.67</v>
      </c>
      <c r="F714" s="123">
        <v>340</v>
      </c>
      <c r="H714" s="89"/>
      <c r="I714" s="89"/>
    </row>
    <row r="715" spans="1:11" s="83" customFormat="1" hidden="1" outlineLevel="2" x14ac:dyDescent="0.25">
      <c r="A715" s="144" t="s">
        <v>1242</v>
      </c>
      <c r="B715" s="70" t="s">
        <v>1101</v>
      </c>
      <c r="C715" s="93" t="s">
        <v>549</v>
      </c>
      <c r="D715" s="118">
        <f t="shared" si="49"/>
        <v>283.33</v>
      </c>
      <c r="E715" s="118">
        <f t="shared" si="50"/>
        <v>56.67</v>
      </c>
      <c r="F715" s="123">
        <v>340</v>
      </c>
      <c r="H715" s="89"/>
      <c r="I715" s="89"/>
    </row>
    <row r="716" spans="1:11" s="83" customFormat="1" ht="18.75" hidden="1" outlineLevel="1" x14ac:dyDescent="0.25">
      <c r="A716" s="407" t="s">
        <v>1429</v>
      </c>
      <c r="B716" s="452"/>
      <c r="C716" s="452"/>
      <c r="D716" s="452"/>
      <c r="E716" s="452"/>
      <c r="F716" s="409"/>
      <c r="H716" s="89"/>
      <c r="J716" s="89"/>
      <c r="K716" s="89"/>
    </row>
    <row r="717" spans="1:11" s="83" customFormat="1" hidden="1" outlineLevel="2" x14ac:dyDescent="0.25">
      <c r="A717" s="144" t="s">
        <v>1231</v>
      </c>
      <c r="B717" s="70" t="s">
        <v>1102</v>
      </c>
      <c r="C717" s="93" t="s">
        <v>549</v>
      </c>
      <c r="D717" s="118">
        <f t="shared" ref="D717:D721" si="51">F717-E717</f>
        <v>283.33</v>
      </c>
      <c r="E717" s="118">
        <f t="shared" si="50"/>
        <v>56.67</v>
      </c>
      <c r="F717" s="123">
        <v>340</v>
      </c>
      <c r="H717" s="89"/>
      <c r="I717" s="89"/>
    </row>
    <row r="718" spans="1:11" s="83" customFormat="1" hidden="1" outlineLevel="2" x14ac:dyDescent="0.25">
      <c r="A718" s="144" t="s">
        <v>1232</v>
      </c>
      <c r="B718" s="70" t="s">
        <v>1103</v>
      </c>
      <c r="C718" s="93" t="s">
        <v>549</v>
      </c>
      <c r="D718" s="118">
        <f t="shared" si="51"/>
        <v>307.5</v>
      </c>
      <c r="E718" s="118">
        <f t="shared" si="50"/>
        <v>61.5</v>
      </c>
      <c r="F718" s="123">
        <v>369</v>
      </c>
      <c r="H718" s="89"/>
      <c r="I718" s="89"/>
    </row>
    <row r="719" spans="1:11" s="83" customFormat="1" hidden="1" outlineLevel="2" x14ac:dyDescent="0.25">
      <c r="A719" s="144" t="s">
        <v>1233</v>
      </c>
      <c r="B719" s="70" t="s">
        <v>1104</v>
      </c>
      <c r="C719" s="93" t="s">
        <v>549</v>
      </c>
      <c r="D719" s="118">
        <f t="shared" si="51"/>
        <v>305.83</v>
      </c>
      <c r="E719" s="118">
        <f t="shared" si="50"/>
        <v>61.17</v>
      </c>
      <c r="F719" s="123">
        <v>367</v>
      </c>
      <c r="H719" s="89"/>
      <c r="I719" s="89"/>
    </row>
    <row r="720" spans="1:11" s="83" customFormat="1" hidden="1" outlineLevel="2" x14ac:dyDescent="0.25">
      <c r="A720" s="144" t="s">
        <v>1234</v>
      </c>
      <c r="B720" s="70" t="s">
        <v>1105</v>
      </c>
      <c r="C720" s="93" t="s">
        <v>549</v>
      </c>
      <c r="D720" s="118">
        <f t="shared" si="51"/>
        <v>345</v>
      </c>
      <c r="E720" s="118">
        <f t="shared" si="50"/>
        <v>69</v>
      </c>
      <c r="F720" s="123">
        <v>414</v>
      </c>
      <c r="H720" s="89"/>
      <c r="I720" s="89"/>
    </row>
    <row r="721" spans="1:11" s="83" customFormat="1" hidden="1" outlineLevel="2" x14ac:dyDescent="0.25">
      <c r="A721" s="144" t="s">
        <v>1235</v>
      </c>
      <c r="B721" s="70" t="s">
        <v>1106</v>
      </c>
      <c r="C721" s="93" t="s">
        <v>549</v>
      </c>
      <c r="D721" s="118">
        <f t="shared" si="51"/>
        <v>369.17</v>
      </c>
      <c r="E721" s="118">
        <f t="shared" si="50"/>
        <v>73.83</v>
      </c>
      <c r="F721" s="123">
        <v>443</v>
      </c>
      <c r="H721" s="89"/>
      <c r="I721" s="89"/>
    </row>
    <row r="722" spans="1:11" s="83" customFormat="1" ht="18.75" hidden="1" outlineLevel="1" x14ac:dyDescent="0.25">
      <c r="A722" s="407" t="s">
        <v>1430</v>
      </c>
      <c r="B722" s="452"/>
      <c r="C722" s="452"/>
      <c r="D722" s="452"/>
      <c r="E722" s="452"/>
      <c r="F722" s="409"/>
      <c r="H722" s="89"/>
      <c r="J722" s="89"/>
      <c r="K722" s="89"/>
    </row>
    <row r="723" spans="1:11" s="83" customFormat="1" hidden="1" outlineLevel="2" x14ac:dyDescent="0.25">
      <c r="A723" s="144" t="s">
        <v>1231</v>
      </c>
      <c r="B723" s="70" t="s">
        <v>1107</v>
      </c>
      <c r="C723" s="93" t="s">
        <v>549</v>
      </c>
      <c r="D723" s="118">
        <f t="shared" ref="D723:D733" si="52">F723-E723</f>
        <v>369.17</v>
      </c>
      <c r="E723" s="118">
        <f t="shared" si="50"/>
        <v>73.83</v>
      </c>
      <c r="F723" s="123">
        <v>443</v>
      </c>
      <c r="H723" s="89"/>
      <c r="I723" s="89"/>
    </row>
    <row r="724" spans="1:11" s="83" customFormat="1" hidden="1" outlineLevel="2" x14ac:dyDescent="0.25">
      <c r="A724" s="144" t="s">
        <v>1232</v>
      </c>
      <c r="B724" s="70" t="s">
        <v>1108</v>
      </c>
      <c r="C724" s="93" t="s">
        <v>549</v>
      </c>
      <c r="D724" s="118">
        <f t="shared" si="52"/>
        <v>369.17</v>
      </c>
      <c r="E724" s="118">
        <f t="shared" si="50"/>
        <v>73.83</v>
      </c>
      <c r="F724" s="123">
        <v>443</v>
      </c>
      <c r="H724" s="89"/>
      <c r="I724" s="89"/>
    </row>
    <row r="725" spans="1:11" s="83" customFormat="1" hidden="1" outlineLevel="2" x14ac:dyDescent="0.25">
      <c r="A725" s="144" t="s">
        <v>1233</v>
      </c>
      <c r="B725" s="70" t="s">
        <v>1109</v>
      </c>
      <c r="C725" s="93" t="s">
        <v>549</v>
      </c>
      <c r="D725" s="118">
        <f t="shared" si="52"/>
        <v>369.17</v>
      </c>
      <c r="E725" s="118">
        <f t="shared" si="50"/>
        <v>73.83</v>
      </c>
      <c r="F725" s="123">
        <v>443</v>
      </c>
      <c r="H725" s="89"/>
      <c r="I725" s="89"/>
    </row>
    <row r="726" spans="1:11" s="83" customFormat="1" hidden="1" outlineLevel="2" x14ac:dyDescent="0.25">
      <c r="A726" s="144" t="s">
        <v>1234</v>
      </c>
      <c r="B726" s="70" t="s">
        <v>1110</v>
      </c>
      <c r="C726" s="93" t="s">
        <v>549</v>
      </c>
      <c r="D726" s="118">
        <f t="shared" si="52"/>
        <v>369.17</v>
      </c>
      <c r="E726" s="118">
        <f t="shared" si="50"/>
        <v>73.83</v>
      </c>
      <c r="F726" s="123">
        <v>443</v>
      </c>
      <c r="H726" s="89"/>
      <c r="I726" s="89"/>
    </row>
    <row r="727" spans="1:11" s="83" customFormat="1" hidden="1" outlineLevel="2" x14ac:dyDescent="0.25">
      <c r="A727" s="144" t="s">
        <v>1235</v>
      </c>
      <c r="B727" s="70" t="s">
        <v>1111</v>
      </c>
      <c r="C727" s="93" t="s">
        <v>549</v>
      </c>
      <c r="D727" s="118">
        <f t="shared" si="52"/>
        <v>369.17</v>
      </c>
      <c r="E727" s="118">
        <f t="shared" si="50"/>
        <v>73.83</v>
      </c>
      <c r="F727" s="123">
        <v>443</v>
      </c>
      <c r="H727" s="89"/>
      <c r="I727" s="89"/>
    </row>
    <row r="728" spans="1:11" s="83" customFormat="1" hidden="1" outlineLevel="2" x14ac:dyDescent="0.25">
      <c r="A728" s="144" t="s">
        <v>1236</v>
      </c>
      <c r="B728" s="70" t="s">
        <v>1112</v>
      </c>
      <c r="C728" s="93" t="s">
        <v>549</v>
      </c>
      <c r="D728" s="118">
        <f t="shared" si="52"/>
        <v>369.17</v>
      </c>
      <c r="E728" s="118">
        <f t="shared" si="50"/>
        <v>73.83</v>
      </c>
      <c r="F728" s="123">
        <v>443</v>
      </c>
      <c r="H728" s="89"/>
      <c r="I728" s="89"/>
    </row>
    <row r="729" spans="1:11" s="83" customFormat="1" hidden="1" outlineLevel="2" x14ac:dyDescent="0.25">
      <c r="A729" s="144" t="s">
        <v>1237</v>
      </c>
      <c r="B729" s="70" t="s">
        <v>1113</v>
      </c>
      <c r="C729" s="93" t="s">
        <v>549</v>
      </c>
      <c r="D729" s="118">
        <f t="shared" si="52"/>
        <v>369.17</v>
      </c>
      <c r="E729" s="118">
        <f t="shared" si="50"/>
        <v>73.83</v>
      </c>
      <c r="F729" s="123">
        <v>443</v>
      </c>
      <c r="H729" s="89"/>
      <c r="I729" s="89"/>
    </row>
    <row r="730" spans="1:11" s="83" customFormat="1" hidden="1" outlineLevel="2" x14ac:dyDescent="0.25">
      <c r="A730" s="144" t="s">
        <v>1238</v>
      </c>
      <c r="B730" s="70" t="s">
        <v>1114</v>
      </c>
      <c r="C730" s="93" t="s">
        <v>549</v>
      </c>
      <c r="D730" s="118">
        <f t="shared" si="52"/>
        <v>369.17</v>
      </c>
      <c r="E730" s="118">
        <f t="shared" si="50"/>
        <v>73.83</v>
      </c>
      <c r="F730" s="123">
        <v>443</v>
      </c>
      <c r="H730" s="89"/>
      <c r="I730" s="89"/>
    </row>
    <row r="731" spans="1:11" s="83" customFormat="1" hidden="1" outlineLevel="2" x14ac:dyDescent="0.25">
      <c r="A731" s="144" t="s">
        <v>1239</v>
      </c>
      <c r="B731" s="70" t="s">
        <v>1115</v>
      </c>
      <c r="C731" s="93" t="s">
        <v>549</v>
      </c>
      <c r="D731" s="118">
        <f t="shared" si="52"/>
        <v>554.16999999999996</v>
      </c>
      <c r="E731" s="118">
        <f t="shared" si="50"/>
        <v>110.83</v>
      </c>
      <c r="F731" s="123">
        <v>665</v>
      </c>
      <c r="H731" s="89"/>
      <c r="I731" s="89"/>
    </row>
    <row r="732" spans="1:11" s="83" customFormat="1" hidden="1" outlineLevel="2" x14ac:dyDescent="0.25">
      <c r="A732" s="144" t="s">
        <v>1240</v>
      </c>
      <c r="B732" s="70" t="s">
        <v>1116</v>
      </c>
      <c r="C732" s="93" t="s">
        <v>549</v>
      </c>
      <c r="D732" s="118">
        <f t="shared" si="52"/>
        <v>554.16999999999996</v>
      </c>
      <c r="E732" s="118">
        <f t="shared" si="50"/>
        <v>110.83</v>
      </c>
      <c r="F732" s="123">
        <v>665</v>
      </c>
      <c r="H732" s="89"/>
      <c r="I732" s="89"/>
    </row>
    <row r="733" spans="1:11" s="83" customFormat="1" hidden="1" outlineLevel="2" x14ac:dyDescent="0.25">
      <c r="A733" s="144" t="s">
        <v>1241</v>
      </c>
      <c r="B733" s="70" t="s">
        <v>1117</v>
      </c>
      <c r="C733" s="93" t="s">
        <v>549</v>
      </c>
      <c r="D733" s="118">
        <f t="shared" si="52"/>
        <v>369.17</v>
      </c>
      <c r="E733" s="118">
        <f t="shared" si="50"/>
        <v>73.83</v>
      </c>
      <c r="F733" s="123">
        <v>443</v>
      </c>
      <c r="H733" s="89"/>
      <c r="I733" s="89"/>
    </row>
    <row r="734" spans="1:11" s="83" customFormat="1" ht="18.75" hidden="1" outlineLevel="1" x14ac:dyDescent="0.25">
      <c r="A734" s="407" t="s">
        <v>1431</v>
      </c>
      <c r="B734" s="452"/>
      <c r="C734" s="452"/>
      <c r="D734" s="452"/>
      <c r="E734" s="452"/>
      <c r="F734" s="409"/>
      <c r="H734" s="89"/>
      <c r="J734" s="89"/>
      <c r="K734" s="89"/>
    </row>
    <row r="735" spans="1:11" s="83" customFormat="1" hidden="1" outlineLevel="2" x14ac:dyDescent="0.25">
      <c r="A735" s="144" t="s">
        <v>1231</v>
      </c>
      <c r="B735" s="70" t="s">
        <v>1118</v>
      </c>
      <c r="C735" s="94" t="s">
        <v>549</v>
      </c>
      <c r="D735" s="118">
        <f t="shared" ref="D735:D741" si="53">F735-E735</f>
        <v>1108.33</v>
      </c>
      <c r="E735" s="118">
        <f t="shared" ref="E735:E741" si="54">ROUND(F735*$E$7/$F$7,2)</f>
        <v>221.67</v>
      </c>
      <c r="F735" s="123">
        <v>1330</v>
      </c>
      <c r="H735" s="89"/>
      <c r="I735" s="89"/>
    </row>
    <row r="736" spans="1:11" s="83" customFormat="1" hidden="1" outlineLevel="2" x14ac:dyDescent="0.25">
      <c r="A736" s="144" t="s">
        <v>1232</v>
      </c>
      <c r="B736" s="70" t="s">
        <v>1119</v>
      </c>
      <c r="C736" s="93" t="s">
        <v>549</v>
      </c>
      <c r="D736" s="118">
        <f t="shared" si="53"/>
        <v>369.17</v>
      </c>
      <c r="E736" s="118">
        <f t="shared" si="54"/>
        <v>73.83</v>
      </c>
      <c r="F736" s="123">
        <v>443</v>
      </c>
      <c r="H736" s="89"/>
      <c r="I736" s="89"/>
    </row>
    <row r="737" spans="1:11" s="83" customFormat="1" hidden="1" outlineLevel="2" x14ac:dyDescent="0.25">
      <c r="A737" s="144" t="s">
        <v>1233</v>
      </c>
      <c r="B737" s="70" t="s">
        <v>1120</v>
      </c>
      <c r="C737" s="93" t="s">
        <v>549</v>
      </c>
      <c r="D737" s="118">
        <f t="shared" si="53"/>
        <v>1230.83</v>
      </c>
      <c r="E737" s="118">
        <f t="shared" si="54"/>
        <v>246.17</v>
      </c>
      <c r="F737" s="123">
        <v>1477</v>
      </c>
      <c r="H737" s="89"/>
      <c r="I737" s="89"/>
    </row>
    <row r="738" spans="1:11" s="83" customFormat="1" hidden="1" outlineLevel="2" x14ac:dyDescent="0.25">
      <c r="A738" s="144" t="s">
        <v>1234</v>
      </c>
      <c r="B738" s="70" t="s">
        <v>1121</v>
      </c>
      <c r="C738" s="93" t="s">
        <v>549</v>
      </c>
      <c r="D738" s="118">
        <f t="shared" si="53"/>
        <v>430.83</v>
      </c>
      <c r="E738" s="118">
        <f t="shared" si="54"/>
        <v>86.17</v>
      </c>
      <c r="F738" s="123">
        <v>517</v>
      </c>
      <c r="H738" s="89"/>
      <c r="I738" s="89"/>
    </row>
    <row r="739" spans="1:11" s="83" customFormat="1" hidden="1" outlineLevel="2" x14ac:dyDescent="0.25">
      <c r="A739" s="144" t="s">
        <v>1235</v>
      </c>
      <c r="B739" s="70" t="s">
        <v>1122</v>
      </c>
      <c r="C739" s="93" t="s">
        <v>549</v>
      </c>
      <c r="D739" s="118">
        <f t="shared" si="53"/>
        <v>369.17</v>
      </c>
      <c r="E739" s="118">
        <f t="shared" si="54"/>
        <v>73.83</v>
      </c>
      <c r="F739" s="123">
        <v>443</v>
      </c>
      <c r="H739" s="89"/>
      <c r="I739" s="89"/>
    </row>
    <row r="740" spans="1:11" s="83" customFormat="1" hidden="1" outlineLevel="2" x14ac:dyDescent="0.25">
      <c r="A740" s="144" t="s">
        <v>1236</v>
      </c>
      <c r="B740" s="70" t="s">
        <v>1123</v>
      </c>
      <c r="C740" s="93" t="s">
        <v>549</v>
      </c>
      <c r="D740" s="118">
        <f t="shared" si="53"/>
        <v>2339.17</v>
      </c>
      <c r="E740" s="118">
        <f t="shared" si="54"/>
        <v>467.83</v>
      </c>
      <c r="F740" s="123">
        <v>2807</v>
      </c>
      <c r="H740" s="89"/>
      <c r="I740" s="89"/>
    </row>
    <row r="741" spans="1:11" s="83" customFormat="1" hidden="1" outlineLevel="2" x14ac:dyDescent="0.25">
      <c r="A741" s="144" t="s">
        <v>1237</v>
      </c>
      <c r="B741" s="70" t="s">
        <v>1124</v>
      </c>
      <c r="C741" s="93" t="s">
        <v>549</v>
      </c>
      <c r="D741" s="118">
        <f t="shared" si="53"/>
        <v>430.83</v>
      </c>
      <c r="E741" s="118">
        <f t="shared" si="54"/>
        <v>86.17</v>
      </c>
      <c r="F741" s="123">
        <v>517</v>
      </c>
      <c r="H741" s="89"/>
      <c r="I741" s="89"/>
    </row>
    <row r="742" spans="1:11" s="83" customFormat="1" ht="18.75" hidden="1" outlineLevel="1" x14ac:dyDescent="0.25">
      <c r="A742" s="407" t="s">
        <v>1418</v>
      </c>
      <c r="B742" s="452"/>
      <c r="C742" s="452"/>
      <c r="D742" s="452"/>
      <c r="E742" s="452"/>
      <c r="F742" s="409"/>
      <c r="G742" s="146"/>
      <c r="H742" s="89"/>
      <c r="J742" s="89"/>
      <c r="K742" s="89"/>
    </row>
    <row r="743" spans="1:11" s="83" customFormat="1" hidden="1" outlineLevel="2" x14ac:dyDescent="0.25">
      <c r="A743" s="144" t="s">
        <v>1231</v>
      </c>
      <c r="B743" s="70" t="s">
        <v>1125</v>
      </c>
      <c r="C743" s="93" t="s">
        <v>549</v>
      </c>
      <c r="D743" s="118">
        <f t="shared" ref="D743:D787" si="55">F743-E743</f>
        <v>283.33</v>
      </c>
      <c r="E743" s="118">
        <f t="shared" ref="E743:E787" si="56">ROUND(F743*$E$7/$F$7,2)</f>
        <v>56.67</v>
      </c>
      <c r="F743" s="123">
        <v>340</v>
      </c>
      <c r="H743" s="89"/>
      <c r="I743" s="89"/>
    </row>
    <row r="744" spans="1:11" s="83" customFormat="1" hidden="1" outlineLevel="2" x14ac:dyDescent="0.25">
      <c r="A744" s="144" t="s">
        <v>1232</v>
      </c>
      <c r="B744" s="70" t="s">
        <v>1126</v>
      </c>
      <c r="C744" s="93" t="s">
        <v>549</v>
      </c>
      <c r="D744" s="118">
        <f t="shared" si="55"/>
        <v>283.33</v>
      </c>
      <c r="E744" s="118">
        <f t="shared" si="56"/>
        <v>56.67</v>
      </c>
      <c r="F744" s="123">
        <v>340</v>
      </c>
      <c r="H744" s="89"/>
      <c r="I744" s="89"/>
    </row>
    <row r="745" spans="1:11" s="83" customFormat="1" hidden="1" outlineLevel="2" x14ac:dyDescent="0.25">
      <c r="A745" s="144" t="s">
        <v>1233</v>
      </c>
      <c r="B745" s="70" t="s">
        <v>1127</v>
      </c>
      <c r="C745" s="93" t="s">
        <v>549</v>
      </c>
      <c r="D745" s="118">
        <f t="shared" si="55"/>
        <v>283.33</v>
      </c>
      <c r="E745" s="118">
        <f t="shared" si="56"/>
        <v>56.67</v>
      </c>
      <c r="F745" s="123">
        <v>340</v>
      </c>
      <c r="H745" s="89"/>
      <c r="I745" s="89"/>
    </row>
    <row r="746" spans="1:11" s="83" customFormat="1" ht="31.5" hidden="1" outlineLevel="2" x14ac:dyDescent="0.25">
      <c r="A746" s="144" t="s">
        <v>1234</v>
      </c>
      <c r="B746" s="70" t="s">
        <v>1128</v>
      </c>
      <c r="C746" s="93" t="s">
        <v>549</v>
      </c>
      <c r="D746" s="118">
        <f t="shared" si="55"/>
        <v>283.33</v>
      </c>
      <c r="E746" s="118">
        <f t="shared" si="56"/>
        <v>56.67</v>
      </c>
      <c r="F746" s="123">
        <v>340</v>
      </c>
      <c r="H746" s="89"/>
      <c r="I746" s="89"/>
    </row>
    <row r="747" spans="1:11" s="83" customFormat="1" hidden="1" outlineLevel="2" x14ac:dyDescent="0.25">
      <c r="A747" s="144" t="s">
        <v>1235</v>
      </c>
      <c r="B747" s="70" t="s">
        <v>1129</v>
      </c>
      <c r="C747" s="93" t="s">
        <v>549</v>
      </c>
      <c r="D747" s="118">
        <f t="shared" si="55"/>
        <v>283.33</v>
      </c>
      <c r="E747" s="118">
        <f t="shared" si="56"/>
        <v>56.67</v>
      </c>
      <c r="F747" s="123">
        <v>340</v>
      </c>
      <c r="H747" s="89"/>
      <c r="I747" s="89"/>
    </row>
    <row r="748" spans="1:11" s="83" customFormat="1" hidden="1" outlineLevel="2" x14ac:dyDescent="0.25">
      <c r="A748" s="144" t="s">
        <v>1236</v>
      </c>
      <c r="B748" s="70" t="s">
        <v>1130</v>
      </c>
      <c r="C748" s="93" t="s">
        <v>549</v>
      </c>
      <c r="D748" s="118">
        <f t="shared" si="55"/>
        <v>283.33</v>
      </c>
      <c r="E748" s="118">
        <f t="shared" si="56"/>
        <v>56.67</v>
      </c>
      <c r="F748" s="123">
        <v>340</v>
      </c>
      <c r="H748" s="89"/>
      <c r="I748" s="89"/>
    </row>
    <row r="749" spans="1:11" s="83" customFormat="1" hidden="1" outlineLevel="2" x14ac:dyDescent="0.25">
      <c r="A749" s="144" t="s">
        <v>1237</v>
      </c>
      <c r="B749" s="70" t="s">
        <v>1131</v>
      </c>
      <c r="C749" s="93" t="s">
        <v>549</v>
      </c>
      <c r="D749" s="118">
        <f t="shared" si="55"/>
        <v>283.33</v>
      </c>
      <c r="E749" s="118">
        <f t="shared" si="56"/>
        <v>56.67</v>
      </c>
      <c r="F749" s="123">
        <v>340</v>
      </c>
      <c r="H749" s="89"/>
      <c r="I749" s="89"/>
    </row>
    <row r="750" spans="1:11" s="83" customFormat="1" hidden="1" outlineLevel="2" x14ac:dyDescent="0.25">
      <c r="A750" s="144" t="s">
        <v>1238</v>
      </c>
      <c r="B750" s="70" t="s">
        <v>1132</v>
      </c>
      <c r="C750" s="93" t="s">
        <v>549</v>
      </c>
      <c r="D750" s="118">
        <f t="shared" si="55"/>
        <v>283.33</v>
      </c>
      <c r="E750" s="118">
        <f t="shared" si="56"/>
        <v>56.67</v>
      </c>
      <c r="F750" s="123">
        <v>340</v>
      </c>
      <c r="H750" s="89"/>
      <c r="I750" s="89"/>
    </row>
    <row r="751" spans="1:11" s="83" customFormat="1" hidden="1" outlineLevel="2" x14ac:dyDescent="0.25">
      <c r="A751" s="144" t="s">
        <v>1239</v>
      </c>
      <c r="B751" s="70" t="s">
        <v>1133</v>
      </c>
      <c r="C751" s="93" t="s">
        <v>549</v>
      </c>
      <c r="D751" s="118">
        <f t="shared" si="55"/>
        <v>283.33</v>
      </c>
      <c r="E751" s="118">
        <f t="shared" si="56"/>
        <v>56.67</v>
      </c>
      <c r="F751" s="123">
        <v>340</v>
      </c>
      <c r="H751" s="89"/>
      <c r="I751" s="89"/>
    </row>
    <row r="752" spans="1:11" s="83" customFormat="1" hidden="1" outlineLevel="2" x14ac:dyDescent="0.25">
      <c r="A752" s="144" t="s">
        <v>1240</v>
      </c>
      <c r="B752" s="70" t="s">
        <v>1134</v>
      </c>
      <c r="C752" s="93" t="s">
        <v>549</v>
      </c>
      <c r="D752" s="118">
        <f t="shared" si="55"/>
        <v>283.33</v>
      </c>
      <c r="E752" s="118">
        <f t="shared" si="56"/>
        <v>56.67</v>
      </c>
      <c r="F752" s="123">
        <v>340</v>
      </c>
      <c r="H752" s="89"/>
      <c r="I752" s="89"/>
    </row>
    <row r="753" spans="1:9" s="83" customFormat="1" hidden="1" outlineLevel="2" x14ac:dyDescent="0.25">
      <c r="A753" s="144" t="s">
        <v>1241</v>
      </c>
      <c r="B753" s="70" t="s">
        <v>1135</v>
      </c>
      <c r="C753" s="93" t="s">
        <v>549</v>
      </c>
      <c r="D753" s="118">
        <f t="shared" si="55"/>
        <v>283.33</v>
      </c>
      <c r="E753" s="118">
        <f t="shared" si="56"/>
        <v>56.67</v>
      </c>
      <c r="F753" s="123">
        <v>340</v>
      </c>
      <c r="H753" s="89"/>
      <c r="I753" s="89"/>
    </row>
    <row r="754" spans="1:9" s="83" customFormat="1" hidden="1" outlineLevel="2" x14ac:dyDescent="0.25">
      <c r="A754" s="144" t="s">
        <v>1242</v>
      </c>
      <c r="B754" s="70" t="s">
        <v>1136</v>
      </c>
      <c r="C754" s="93" t="s">
        <v>549</v>
      </c>
      <c r="D754" s="118">
        <f t="shared" si="55"/>
        <v>283.33</v>
      </c>
      <c r="E754" s="118">
        <f t="shared" si="56"/>
        <v>56.67</v>
      </c>
      <c r="F754" s="123">
        <v>340</v>
      </c>
      <c r="H754" s="89"/>
      <c r="I754" s="89"/>
    </row>
    <row r="755" spans="1:9" s="83" customFormat="1" hidden="1" outlineLevel="2" x14ac:dyDescent="0.25">
      <c r="A755" s="144" t="s">
        <v>1243</v>
      </c>
      <c r="B755" s="70" t="s">
        <v>1137</v>
      </c>
      <c r="C755" s="93" t="s">
        <v>549</v>
      </c>
      <c r="D755" s="118">
        <f t="shared" si="55"/>
        <v>283.33</v>
      </c>
      <c r="E755" s="118">
        <f t="shared" si="56"/>
        <v>56.67</v>
      </c>
      <c r="F755" s="123">
        <v>340</v>
      </c>
      <c r="H755" s="89"/>
      <c r="I755" s="89"/>
    </row>
    <row r="756" spans="1:9" s="83" customFormat="1" hidden="1" outlineLevel="2" x14ac:dyDescent="0.25">
      <c r="A756" s="144" t="s">
        <v>1244</v>
      </c>
      <c r="B756" s="70" t="s">
        <v>1138</v>
      </c>
      <c r="C756" s="93" t="s">
        <v>549</v>
      </c>
      <c r="D756" s="118">
        <f t="shared" si="55"/>
        <v>283.33</v>
      </c>
      <c r="E756" s="118">
        <f t="shared" si="56"/>
        <v>56.67</v>
      </c>
      <c r="F756" s="123">
        <v>340</v>
      </c>
      <c r="H756" s="89"/>
      <c r="I756" s="89"/>
    </row>
    <row r="757" spans="1:9" s="83" customFormat="1" hidden="1" outlineLevel="2" x14ac:dyDescent="0.25">
      <c r="A757" s="144" t="s">
        <v>1245</v>
      </c>
      <c r="B757" s="70" t="s">
        <v>1139</v>
      </c>
      <c r="C757" s="93" t="s">
        <v>549</v>
      </c>
      <c r="D757" s="118">
        <f t="shared" si="55"/>
        <v>283.33</v>
      </c>
      <c r="E757" s="118">
        <f t="shared" si="56"/>
        <v>56.67</v>
      </c>
      <c r="F757" s="123">
        <v>340</v>
      </c>
      <c r="H757" s="89"/>
      <c r="I757" s="89"/>
    </row>
    <row r="758" spans="1:9" s="83" customFormat="1" hidden="1" outlineLevel="2" x14ac:dyDescent="0.25">
      <c r="A758" s="144" t="s">
        <v>1246</v>
      </c>
      <c r="B758" s="70" t="s">
        <v>1140</v>
      </c>
      <c r="C758" s="93" t="s">
        <v>549</v>
      </c>
      <c r="D758" s="118">
        <f t="shared" si="55"/>
        <v>283.33</v>
      </c>
      <c r="E758" s="118">
        <f t="shared" si="56"/>
        <v>56.67</v>
      </c>
      <c r="F758" s="123">
        <v>340</v>
      </c>
      <c r="H758" s="89"/>
      <c r="I758" s="89"/>
    </row>
    <row r="759" spans="1:9" s="83" customFormat="1" hidden="1" outlineLevel="2" x14ac:dyDescent="0.25">
      <c r="A759" s="144" t="s">
        <v>1247</v>
      </c>
      <c r="B759" s="70" t="s">
        <v>1141</v>
      </c>
      <c r="C759" s="93" t="s">
        <v>549</v>
      </c>
      <c r="D759" s="118">
        <f t="shared" si="55"/>
        <v>283.33</v>
      </c>
      <c r="E759" s="118">
        <f t="shared" si="56"/>
        <v>56.67</v>
      </c>
      <c r="F759" s="123">
        <v>340</v>
      </c>
      <c r="H759" s="89"/>
      <c r="I759" s="89"/>
    </row>
    <row r="760" spans="1:9" s="83" customFormat="1" hidden="1" outlineLevel="2" x14ac:dyDescent="0.25">
      <c r="A760" s="144" t="s">
        <v>1248</v>
      </c>
      <c r="B760" s="70" t="s">
        <v>1142</v>
      </c>
      <c r="C760" s="93" t="s">
        <v>549</v>
      </c>
      <c r="D760" s="118">
        <f t="shared" si="55"/>
        <v>283.33</v>
      </c>
      <c r="E760" s="118">
        <f t="shared" si="56"/>
        <v>56.67</v>
      </c>
      <c r="F760" s="123">
        <v>340</v>
      </c>
      <c r="H760" s="89"/>
      <c r="I760" s="89"/>
    </row>
    <row r="761" spans="1:9" s="83" customFormat="1" hidden="1" outlineLevel="2" x14ac:dyDescent="0.25">
      <c r="A761" s="144" t="s">
        <v>1249</v>
      </c>
      <c r="B761" s="70" t="s">
        <v>1143</v>
      </c>
      <c r="C761" s="93" t="s">
        <v>549</v>
      </c>
      <c r="D761" s="118">
        <f t="shared" si="55"/>
        <v>283.33</v>
      </c>
      <c r="E761" s="118">
        <f t="shared" si="56"/>
        <v>56.67</v>
      </c>
      <c r="F761" s="123">
        <v>340</v>
      </c>
      <c r="H761" s="89"/>
      <c r="I761" s="89"/>
    </row>
    <row r="762" spans="1:9" s="83" customFormat="1" hidden="1" outlineLevel="2" x14ac:dyDescent="0.25">
      <c r="A762" s="144" t="s">
        <v>1250</v>
      </c>
      <c r="B762" s="70" t="s">
        <v>1144</v>
      </c>
      <c r="C762" s="93" t="s">
        <v>549</v>
      </c>
      <c r="D762" s="118">
        <f t="shared" si="55"/>
        <v>283.33</v>
      </c>
      <c r="E762" s="118">
        <f t="shared" si="56"/>
        <v>56.67</v>
      </c>
      <c r="F762" s="123">
        <v>340</v>
      </c>
      <c r="H762" s="89"/>
      <c r="I762" s="89"/>
    </row>
    <row r="763" spans="1:9" s="83" customFormat="1" hidden="1" outlineLevel="2" x14ac:dyDescent="0.25">
      <c r="A763" s="144" t="s">
        <v>1251</v>
      </c>
      <c r="B763" s="70" t="s">
        <v>1145</v>
      </c>
      <c r="C763" s="93" t="s">
        <v>549</v>
      </c>
      <c r="D763" s="118">
        <f t="shared" si="55"/>
        <v>283.33</v>
      </c>
      <c r="E763" s="118">
        <f t="shared" si="56"/>
        <v>56.67</v>
      </c>
      <c r="F763" s="123">
        <v>340</v>
      </c>
      <c r="H763" s="89"/>
      <c r="I763" s="89"/>
    </row>
    <row r="764" spans="1:9" s="83" customFormat="1" hidden="1" outlineLevel="2" x14ac:dyDescent="0.25">
      <c r="A764" s="144" t="s">
        <v>1252</v>
      </c>
      <c r="B764" s="70" t="s">
        <v>1146</v>
      </c>
      <c r="C764" s="93" t="s">
        <v>549</v>
      </c>
      <c r="D764" s="118">
        <f t="shared" si="55"/>
        <v>283.33</v>
      </c>
      <c r="E764" s="118">
        <f t="shared" si="56"/>
        <v>56.67</v>
      </c>
      <c r="F764" s="123">
        <v>340</v>
      </c>
      <c r="H764" s="89"/>
      <c r="I764" s="89"/>
    </row>
    <row r="765" spans="1:9" s="83" customFormat="1" hidden="1" outlineLevel="2" x14ac:dyDescent="0.25">
      <c r="A765" s="144" t="s">
        <v>1253</v>
      </c>
      <c r="B765" s="70" t="s">
        <v>1147</v>
      </c>
      <c r="C765" s="93" t="s">
        <v>549</v>
      </c>
      <c r="D765" s="118">
        <f t="shared" si="55"/>
        <v>283.33</v>
      </c>
      <c r="E765" s="118">
        <f t="shared" si="56"/>
        <v>56.67</v>
      </c>
      <c r="F765" s="123">
        <v>340</v>
      </c>
      <c r="H765" s="89"/>
      <c r="I765" s="89"/>
    </row>
    <row r="766" spans="1:9" s="83" customFormat="1" hidden="1" outlineLevel="2" x14ac:dyDescent="0.25">
      <c r="A766" s="144" t="s">
        <v>1254</v>
      </c>
      <c r="B766" s="70" t="s">
        <v>1148</v>
      </c>
      <c r="C766" s="93" t="s">
        <v>549</v>
      </c>
      <c r="D766" s="118">
        <f t="shared" si="55"/>
        <v>283.33</v>
      </c>
      <c r="E766" s="118">
        <f t="shared" si="56"/>
        <v>56.67</v>
      </c>
      <c r="F766" s="123">
        <v>340</v>
      </c>
      <c r="H766" s="89"/>
      <c r="I766" s="89"/>
    </row>
    <row r="767" spans="1:9" s="83" customFormat="1" hidden="1" outlineLevel="2" x14ac:dyDescent="0.25">
      <c r="A767" s="144" t="s">
        <v>1255</v>
      </c>
      <c r="B767" s="70" t="s">
        <v>1149</v>
      </c>
      <c r="C767" s="93" t="s">
        <v>549</v>
      </c>
      <c r="D767" s="118">
        <f t="shared" si="55"/>
        <v>283.33</v>
      </c>
      <c r="E767" s="118">
        <f t="shared" si="56"/>
        <v>56.67</v>
      </c>
      <c r="F767" s="123">
        <v>340</v>
      </c>
      <c r="H767" s="89"/>
      <c r="I767" s="89"/>
    </row>
    <row r="768" spans="1:9" s="83" customFormat="1" hidden="1" outlineLevel="2" x14ac:dyDescent="0.25">
      <c r="A768" s="144" t="s">
        <v>1256</v>
      </c>
      <c r="B768" s="70" t="s">
        <v>1150</v>
      </c>
      <c r="C768" s="93" t="s">
        <v>549</v>
      </c>
      <c r="D768" s="118">
        <f t="shared" si="55"/>
        <v>283.33</v>
      </c>
      <c r="E768" s="118">
        <f t="shared" si="56"/>
        <v>56.67</v>
      </c>
      <c r="F768" s="123">
        <v>340</v>
      </c>
      <c r="H768" s="89"/>
      <c r="I768" s="89"/>
    </row>
    <row r="769" spans="1:9" s="83" customFormat="1" hidden="1" outlineLevel="2" x14ac:dyDescent="0.25">
      <c r="A769" s="144" t="s">
        <v>1257</v>
      </c>
      <c r="B769" s="70" t="s">
        <v>1151</v>
      </c>
      <c r="C769" s="93" t="s">
        <v>549</v>
      </c>
      <c r="D769" s="118">
        <f t="shared" si="55"/>
        <v>283.33</v>
      </c>
      <c r="E769" s="118">
        <f t="shared" si="56"/>
        <v>56.67</v>
      </c>
      <c r="F769" s="123">
        <v>340</v>
      </c>
      <c r="H769" s="89"/>
      <c r="I769" s="89"/>
    </row>
    <row r="770" spans="1:9" s="83" customFormat="1" hidden="1" outlineLevel="2" x14ac:dyDescent="0.25">
      <c r="A770" s="144" t="s">
        <v>1258</v>
      </c>
      <c r="B770" s="70" t="s">
        <v>1152</v>
      </c>
      <c r="C770" s="93" t="s">
        <v>549</v>
      </c>
      <c r="D770" s="118">
        <f t="shared" si="55"/>
        <v>283.33</v>
      </c>
      <c r="E770" s="118">
        <f t="shared" si="56"/>
        <v>56.67</v>
      </c>
      <c r="F770" s="123">
        <v>340</v>
      </c>
      <c r="H770" s="89"/>
      <c r="I770" s="89"/>
    </row>
    <row r="771" spans="1:9" s="83" customFormat="1" hidden="1" outlineLevel="2" x14ac:dyDescent="0.25">
      <c r="A771" s="144" t="s">
        <v>1259</v>
      </c>
      <c r="B771" s="70" t="s">
        <v>1153</v>
      </c>
      <c r="C771" s="93" t="s">
        <v>549</v>
      </c>
      <c r="D771" s="118">
        <f t="shared" si="55"/>
        <v>283.33</v>
      </c>
      <c r="E771" s="118">
        <f t="shared" si="56"/>
        <v>56.67</v>
      </c>
      <c r="F771" s="123">
        <v>340</v>
      </c>
      <c r="H771" s="89"/>
      <c r="I771" s="89"/>
    </row>
    <row r="772" spans="1:9" s="83" customFormat="1" hidden="1" outlineLevel="2" x14ac:dyDescent="0.25">
      <c r="A772" s="144" t="s">
        <v>1260</v>
      </c>
      <c r="B772" s="70" t="s">
        <v>1154</v>
      </c>
      <c r="C772" s="93" t="s">
        <v>549</v>
      </c>
      <c r="D772" s="118">
        <f t="shared" si="55"/>
        <v>283.33</v>
      </c>
      <c r="E772" s="118">
        <f t="shared" si="56"/>
        <v>56.67</v>
      </c>
      <c r="F772" s="123">
        <v>340</v>
      </c>
      <c r="H772" s="89"/>
      <c r="I772" s="89"/>
    </row>
    <row r="773" spans="1:9" s="83" customFormat="1" hidden="1" outlineLevel="2" x14ac:dyDescent="0.25">
      <c r="A773" s="144" t="s">
        <v>1261</v>
      </c>
      <c r="B773" s="70" t="s">
        <v>1155</v>
      </c>
      <c r="C773" s="93" t="s">
        <v>549</v>
      </c>
      <c r="D773" s="118">
        <f t="shared" si="55"/>
        <v>283.33</v>
      </c>
      <c r="E773" s="118">
        <f t="shared" si="56"/>
        <v>56.67</v>
      </c>
      <c r="F773" s="123">
        <v>340</v>
      </c>
      <c r="H773" s="89"/>
      <c r="I773" s="89"/>
    </row>
    <row r="774" spans="1:9" s="83" customFormat="1" hidden="1" outlineLevel="2" x14ac:dyDescent="0.25">
      <c r="A774" s="144" t="s">
        <v>1262</v>
      </c>
      <c r="B774" s="70" t="s">
        <v>1156</v>
      </c>
      <c r="C774" s="93" t="s">
        <v>549</v>
      </c>
      <c r="D774" s="118">
        <f t="shared" si="55"/>
        <v>283.33</v>
      </c>
      <c r="E774" s="118">
        <f t="shared" si="56"/>
        <v>56.67</v>
      </c>
      <c r="F774" s="123">
        <v>340</v>
      </c>
      <c r="H774" s="89"/>
      <c r="I774" s="89"/>
    </row>
    <row r="775" spans="1:9" s="83" customFormat="1" hidden="1" outlineLevel="2" x14ac:dyDescent="0.25">
      <c r="A775" s="144" t="s">
        <v>1263</v>
      </c>
      <c r="B775" s="70" t="s">
        <v>1157</v>
      </c>
      <c r="C775" s="93" t="s">
        <v>549</v>
      </c>
      <c r="D775" s="118">
        <f t="shared" si="55"/>
        <v>283.33</v>
      </c>
      <c r="E775" s="118">
        <f t="shared" si="56"/>
        <v>56.67</v>
      </c>
      <c r="F775" s="123">
        <v>340</v>
      </c>
      <c r="H775" s="89"/>
      <c r="I775" s="89"/>
    </row>
    <row r="776" spans="1:9" s="83" customFormat="1" hidden="1" outlineLevel="2" x14ac:dyDescent="0.25">
      <c r="A776" s="144" t="s">
        <v>1264</v>
      </c>
      <c r="B776" s="70" t="s">
        <v>1158</v>
      </c>
      <c r="C776" s="93" t="s">
        <v>549</v>
      </c>
      <c r="D776" s="118">
        <f t="shared" si="55"/>
        <v>283.33</v>
      </c>
      <c r="E776" s="118">
        <f t="shared" si="56"/>
        <v>56.67</v>
      </c>
      <c r="F776" s="123">
        <v>340</v>
      </c>
      <c r="H776" s="89"/>
      <c r="I776" s="89"/>
    </row>
    <row r="777" spans="1:9" s="83" customFormat="1" hidden="1" outlineLevel="2" x14ac:dyDescent="0.25">
      <c r="A777" s="144" t="s">
        <v>1265</v>
      </c>
      <c r="B777" s="70" t="s">
        <v>1159</v>
      </c>
      <c r="C777" s="93" t="s">
        <v>549</v>
      </c>
      <c r="D777" s="118">
        <f t="shared" si="55"/>
        <v>283.33</v>
      </c>
      <c r="E777" s="118">
        <f t="shared" si="56"/>
        <v>56.67</v>
      </c>
      <c r="F777" s="123">
        <v>340</v>
      </c>
      <c r="H777" s="89"/>
      <c r="I777" s="89"/>
    </row>
    <row r="778" spans="1:9" s="83" customFormat="1" hidden="1" outlineLevel="2" x14ac:dyDescent="0.25">
      <c r="A778" s="144" t="s">
        <v>1266</v>
      </c>
      <c r="B778" s="70" t="s">
        <v>1160</v>
      </c>
      <c r="C778" s="93" t="s">
        <v>549</v>
      </c>
      <c r="D778" s="118">
        <f t="shared" si="55"/>
        <v>283.33</v>
      </c>
      <c r="E778" s="118">
        <f t="shared" si="56"/>
        <v>56.67</v>
      </c>
      <c r="F778" s="123">
        <v>340</v>
      </c>
      <c r="H778" s="89"/>
      <c r="I778" s="89"/>
    </row>
    <row r="779" spans="1:9" s="83" customFormat="1" hidden="1" outlineLevel="2" x14ac:dyDescent="0.25">
      <c r="A779" s="144" t="s">
        <v>1267</v>
      </c>
      <c r="B779" s="70" t="s">
        <v>1161</v>
      </c>
      <c r="C779" s="93" t="s">
        <v>549</v>
      </c>
      <c r="D779" s="118">
        <f t="shared" si="55"/>
        <v>283.33</v>
      </c>
      <c r="E779" s="118">
        <f t="shared" si="56"/>
        <v>56.67</v>
      </c>
      <c r="F779" s="123">
        <v>340</v>
      </c>
      <c r="H779" s="89"/>
      <c r="I779" s="89"/>
    </row>
    <row r="780" spans="1:9" s="83" customFormat="1" hidden="1" outlineLevel="2" x14ac:dyDescent="0.25">
      <c r="A780" s="144" t="s">
        <v>1268</v>
      </c>
      <c r="B780" s="70" t="s">
        <v>1162</v>
      </c>
      <c r="C780" s="93" t="s">
        <v>549</v>
      </c>
      <c r="D780" s="118">
        <f t="shared" si="55"/>
        <v>283.33</v>
      </c>
      <c r="E780" s="118">
        <f t="shared" si="56"/>
        <v>56.67</v>
      </c>
      <c r="F780" s="123">
        <v>340</v>
      </c>
      <c r="H780" s="89"/>
      <c r="I780" s="89"/>
    </row>
    <row r="781" spans="1:9" s="83" customFormat="1" hidden="1" outlineLevel="2" x14ac:dyDescent="0.25">
      <c r="A781" s="144" t="s">
        <v>1269</v>
      </c>
      <c r="B781" s="70" t="s">
        <v>1163</v>
      </c>
      <c r="C781" s="93" t="s">
        <v>549</v>
      </c>
      <c r="D781" s="118">
        <f t="shared" si="55"/>
        <v>283.33</v>
      </c>
      <c r="E781" s="118">
        <f t="shared" si="56"/>
        <v>56.67</v>
      </c>
      <c r="F781" s="123">
        <v>340</v>
      </c>
      <c r="H781" s="89"/>
      <c r="I781" s="89"/>
    </row>
    <row r="782" spans="1:9" s="83" customFormat="1" hidden="1" outlineLevel="2" x14ac:dyDescent="0.25">
      <c r="A782" s="144" t="s">
        <v>1270</v>
      </c>
      <c r="B782" s="70" t="s">
        <v>1164</v>
      </c>
      <c r="C782" s="93" t="s">
        <v>549</v>
      </c>
      <c r="D782" s="118">
        <f t="shared" si="55"/>
        <v>283.33</v>
      </c>
      <c r="E782" s="118">
        <f t="shared" si="56"/>
        <v>56.67</v>
      </c>
      <c r="F782" s="123">
        <v>340</v>
      </c>
      <c r="H782" s="89"/>
      <c r="I782" s="89"/>
    </row>
    <row r="783" spans="1:9" s="83" customFormat="1" hidden="1" outlineLevel="2" x14ac:dyDescent="0.25">
      <c r="A783" s="144" t="s">
        <v>1271</v>
      </c>
      <c r="B783" s="70" t="s">
        <v>1165</v>
      </c>
      <c r="C783" s="93" t="s">
        <v>549</v>
      </c>
      <c r="D783" s="118">
        <f t="shared" si="55"/>
        <v>283.33</v>
      </c>
      <c r="E783" s="118">
        <f t="shared" si="56"/>
        <v>56.67</v>
      </c>
      <c r="F783" s="123">
        <v>340</v>
      </c>
      <c r="H783" s="89"/>
      <c r="I783" s="89"/>
    </row>
    <row r="784" spans="1:9" s="83" customFormat="1" hidden="1" outlineLevel="2" x14ac:dyDescent="0.25">
      <c r="A784" s="144" t="s">
        <v>1272</v>
      </c>
      <c r="B784" s="70" t="s">
        <v>1166</v>
      </c>
      <c r="C784" s="93" t="s">
        <v>549</v>
      </c>
      <c r="D784" s="118">
        <f t="shared" si="55"/>
        <v>283.33</v>
      </c>
      <c r="E784" s="118">
        <f t="shared" si="56"/>
        <v>56.67</v>
      </c>
      <c r="F784" s="123">
        <v>340</v>
      </c>
      <c r="H784" s="89"/>
      <c r="I784" s="89"/>
    </row>
    <row r="785" spans="1:11" s="83" customFormat="1" hidden="1" outlineLevel="2" x14ac:dyDescent="0.25">
      <c r="A785" s="144" t="s">
        <v>1275</v>
      </c>
      <c r="B785" s="70" t="s">
        <v>1167</v>
      </c>
      <c r="C785" s="93" t="s">
        <v>549</v>
      </c>
      <c r="D785" s="118">
        <f t="shared" si="55"/>
        <v>283.33</v>
      </c>
      <c r="E785" s="118">
        <f t="shared" si="56"/>
        <v>56.67</v>
      </c>
      <c r="F785" s="123">
        <v>340</v>
      </c>
      <c r="H785" s="89"/>
      <c r="I785" s="89"/>
    </row>
    <row r="786" spans="1:11" s="83" customFormat="1" hidden="1" outlineLevel="2" x14ac:dyDescent="0.25">
      <c r="A786" s="144" t="s">
        <v>1276</v>
      </c>
      <c r="B786" s="70" t="s">
        <v>1168</v>
      </c>
      <c r="C786" s="93" t="s">
        <v>549</v>
      </c>
      <c r="D786" s="118">
        <f t="shared" si="55"/>
        <v>283.33</v>
      </c>
      <c r="E786" s="118">
        <f t="shared" si="56"/>
        <v>56.67</v>
      </c>
      <c r="F786" s="123">
        <v>340</v>
      </c>
      <c r="H786" s="89"/>
      <c r="I786" s="89"/>
    </row>
    <row r="787" spans="1:11" s="83" customFormat="1" hidden="1" outlineLevel="2" x14ac:dyDescent="0.25">
      <c r="A787" s="144" t="s">
        <v>1277</v>
      </c>
      <c r="B787" s="70" t="s">
        <v>1169</v>
      </c>
      <c r="C787" s="93" t="s">
        <v>549</v>
      </c>
      <c r="D787" s="118">
        <f t="shared" si="55"/>
        <v>283.33</v>
      </c>
      <c r="E787" s="118">
        <f t="shared" si="56"/>
        <v>56.67</v>
      </c>
      <c r="F787" s="123">
        <v>340</v>
      </c>
      <c r="H787" s="89"/>
      <c r="I787" s="89"/>
    </row>
    <row r="788" spans="1:11" s="83" customFormat="1" ht="18.75" hidden="1" outlineLevel="1" x14ac:dyDescent="0.25">
      <c r="A788" s="407" t="s">
        <v>1419</v>
      </c>
      <c r="B788" s="452"/>
      <c r="C788" s="452"/>
      <c r="D788" s="452"/>
      <c r="E788" s="452"/>
      <c r="F788" s="409"/>
      <c r="G788" s="146"/>
      <c r="H788" s="89"/>
      <c r="J788" s="89"/>
      <c r="K788" s="89"/>
    </row>
    <row r="789" spans="1:11" s="83" customFormat="1" hidden="1" outlineLevel="2" x14ac:dyDescent="0.25">
      <c r="A789" s="144" t="s">
        <v>1231</v>
      </c>
      <c r="B789" s="70" t="s">
        <v>1170</v>
      </c>
      <c r="C789" s="91" t="s">
        <v>549</v>
      </c>
      <c r="D789" s="118">
        <f t="shared" ref="D789" si="57">F789-E789</f>
        <v>283.33</v>
      </c>
      <c r="E789" s="118">
        <f>ROUND(F789*$E$7/$F$7,2)</f>
        <v>56.67</v>
      </c>
      <c r="F789" s="123">
        <v>340</v>
      </c>
      <c r="H789" s="89"/>
      <c r="I789" s="89"/>
    </row>
    <row r="790" spans="1:11" s="83" customFormat="1" ht="18.75" hidden="1" outlineLevel="1" x14ac:dyDescent="0.25">
      <c r="A790" s="407" t="s">
        <v>1432</v>
      </c>
      <c r="B790" s="452"/>
      <c r="C790" s="452"/>
      <c r="D790" s="452"/>
      <c r="E790" s="452"/>
      <c r="F790" s="409"/>
      <c r="H790" s="89"/>
      <c r="J790" s="89"/>
      <c r="K790" s="89"/>
    </row>
    <row r="791" spans="1:11" s="83" customFormat="1" ht="31.5" hidden="1" outlineLevel="2" x14ac:dyDescent="0.25">
      <c r="A791" s="144" t="s">
        <v>1231</v>
      </c>
      <c r="B791" s="70" t="s">
        <v>1171</v>
      </c>
      <c r="C791" s="93" t="s">
        <v>549</v>
      </c>
      <c r="D791" s="118">
        <f t="shared" ref="D791:D805" si="58">F791-E791</f>
        <v>1108.33</v>
      </c>
      <c r="E791" s="118">
        <f t="shared" ref="E791:E805" si="59">ROUND(F791*$E$7/$F$7,2)</f>
        <v>221.67</v>
      </c>
      <c r="F791" s="123">
        <v>1330</v>
      </c>
      <c r="H791" s="89"/>
      <c r="I791" s="89"/>
    </row>
    <row r="792" spans="1:11" s="83" customFormat="1" hidden="1" outlineLevel="2" x14ac:dyDescent="0.25">
      <c r="A792" s="144" t="s">
        <v>1232</v>
      </c>
      <c r="B792" s="70" t="s">
        <v>1172</v>
      </c>
      <c r="C792" s="93" t="s">
        <v>549</v>
      </c>
      <c r="D792" s="118">
        <f t="shared" si="58"/>
        <v>923.33</v>
      </c>
      <c r="E792" s="118">
        <f t="shared" si="59"/>
        <v>184.67</v>
      </c>
      <c r="F792" s="123">
        <v>1108</v>
      </c>
      <c r="H792" s="89"/>
      <c r="I792" s="89"/>
    </row>
    <row r="793" spans="1:11" s="83" customFormat="1" hidden="1" outlineLevel="2" x14ac:dyDescent="0.25">
      <c r="A793" s="144" t="s">
        <v>1233</v>
      </c>
      <c r="B793" s="70" t="s">
        <v>1173</v>
      </c>
      <c r="C793" s="93" t="s">
        <v>549</v>
      </c>
      <c r="D793" s="118">
        <f t="shared" si="58"/>
        <v>517.5</v>
      </c>
      <c r="E793" s="118">
        <f t="shared" si="59"/>
        <v>103.5</v>
      </c>
      <c r="F793" s="123">
        <v>621</v>
      </c>
      <c r="H793" s="89"/>
      <c r="I793" s="89"/>
    </row>
    <row r="794" spans="1:11" s="83" customFormat="1" hidden="1" outlineLevel="2" x14ac:dyDescent="0.25">
      <c r="A794" s="144" t="s">
        <v>1234</v>
      </c>
      <c r="B794" s="70" t="s">
        <v>1174</v>
      </c>
      <c r="C794" s="93" t="s">
        <v>549</v>
      </c>
      <c r="D794" s="118">
        <f t="shared" si="58"/>
        <v>800.83</v>
      </c>
      <c r="E794" s="118">
        <f t="shared" si="59"/>
        <v>160.16999999999999</v>
      </c>
      <c r="F794" s="123">
        <v>961</v>
      </c>
      <c r="H794" s="89"/>
      <c r="I794" s="89"/>
    </row>
    <row r="795" spans="1:11" s="83" customFormat="1" hidden="1" outlineLevel="2" x14ac:dyDescent="0.25">
      <c r="A795" s="144" t="s">
        <v>1235</v>
      </c>
      <c r="B795" s="70" t="s">
        <v>1175</v>
      </c>
      <c r="C795" s="93" t="s">
        <v>549</v>
      </c>
      <c r="D795" s="118">
        <f t="shared" si="58"/>
        <v>554.16999999999996</v>
      </c>
      <c r="E795" s="118">
        <f t="shared" si="59"/>
        <v>110.83</v>
      </c>
      <c r="F795" s="123">
        <v>665</v>
      </c>
      <c r="H795" s="89"/>
      <c r="I795" s="89"/>
    </row>
    <row r="796" spans="1:11" s="83" customFormat="1" hidden="1" outlineLevel="2" x14ac:dyDescent="0.25">
      <c r="A796" s="144" t="s">
        <v>1236</v>
      </c>
      <c r="B796" s="70" t="s">
        <v>1176</v>
      </c>
      <c r="C796" s="93" t="s">
        <v>549</v>
      </c>
      <c r="D796" s="118">
        <f t="shared" si="58"/>
        <v>554.16999999999996</v>
      </c>
      <c r="E796" s="118">
        <f t="shared" si="59"/>
        <v>110.83</v>
      </c>
      <c r="F796" s="123">
        <v>665</v>
      </c>
      <c r="H796" s="89"/>
      <c r="I796" s="89"/>
    </row>
    <row r="797" spans="1:11" s="83" customFormat="1" ht="31.5" hidden="1" outlineLevel="2" x14ac:dyDescent="0.25">
      <c r="A797" s="144" t="s">
        <v>1237</v>
      </c>
      <c r="B797" s="70" t="s">
        <v>1217</v>
      </c>
      <c r="C797" s="91" t="s">
        <v>549</v>
      </c>
      <c r="D797" s="118">
        <f t="shared" si="58"/>
        <v>587.5</v>
      </c>
      <c r="E797" s="118">
        <f t="shared" si="59"/>
        <v>117.5</v>
      </c>
      <c r="F797" s="123">
        <v>705</v>
      </c>
      <c r="H797" s="89"/>
      <c r="I797" s="89"/>
    </row>
    <row r="798" spans="1:11" s="83" customFormat="1" ht="31.5" hidden="1" outlineLevel="2" x14ac:dyDescent="0.25">
      <c r="A798" s="144" t="s">
        <v>1238</v>
      </c>
      <c r="B798" s="70" t="s">
        <v>1177</v>
      </c>
      <c r="C798" s="93" t="s">
        <v>549</v>
      </c>
      <c r="D798" s="118">
        <f t="shared" si="58"/>
        <v>430.83</v>
      </c>
      <c r="E798" s="118">
        <f t="shared" si="59"/>
        <v>86.17</v>
      </c>
      <c r="F798" s="123">
        <v>517</v>
      </c>
      <c r="H798" s="89"/>
      <c r="I798" s="89"/>
    </row>
    <row r="799" spans="1:11" s="83" customFormat="1" ht="31.5" hidden="1" outlineLevel="2" x14ac:dyDescent="0.25">
      <c r="A799" s="144" t="s">
        <v>1239</v>
      </c>
      <c r="B799" s="70" t="s">
        <v>1178</v>
      </c>
      <c r="C799" s="93" t="s">
        <v>549</v>
      </c>
      <c r="D799" s="118">
        <f t="shared" si="58"/>
        <v>492.5</v>
      </c>
      <c r="E799" s="118">
        <f t="shared" si="59"/>
        <v>98.5</v>
      </c>
      <c r="F799" s="123">
        <v>591</v>
      </c>
      <c r="H799" s="89"/>
      <c r="I799" s="89"/>
    </row>
    <row r="800" spans="1:11" s="83" customFormat="1" ht="31.5" hidden="1" outlineLevel="2" x14ac:dyDescent="0.25">
      <c r="A800" s="144" t="s">
        <v>1240</v>
      </c>
      <c r="B800" s="70" t="s">
        <v>1179</v>
      </c>
      <c r="C800" s="93" t="s">
        <v>549</v>
      </c>
      <c r="D800" s="118">
        <f t="shared" si="58"/>
        <v>492.5</v>
      </c>
      <c r="E800" s="118">
        <f t="shared" si="59"/>
        <v>98.5</v>
      </c>
      <c r="F800" s="123">
        <v>591</v>
      </c>
      <c r="H800" s="89"/>
      <c r="I800" s="89"/>
    </row>
    <row r="801" spans="1:11" s="83" customFormat="1" ht="31.5" hidden="1" outlineLevel="2" x14ac:dyDescent="0.25">
      <c r="A801" s="144" t="s">
        <v>1241</v>
      </c>
      <c r="B801" s="70" t="s">
        <v>1180</v>
      </c>
      <c r="C801" s="93" t="s">
        <v>549</v>
      </c>
      <c r="D801" s="118">
        <f t="shared" si="58"/>
        <v>430.83</v>
      </c>
      <c r="E801" s="118">
        <f t="shared" si="59"/>
        <v>86.17</v>
      </c>
      <c r="F801" s="123">
        <v>517</v>
      </c>
      <c r="H801" s="89"/>
      <c r="I801" s="89"/>
    </row>
    <row r="802" spans="1:11" s="83" customFormat="1" ht="17.25" hidden="1" customHeight="1" outlineLevel="2" x14ac:dyDescent="0.25">
      <c r="A802" s="144" t="s">
        <v>1242</v>
      </c>
      <c r="B802" s="70" t="s">
        <v>1181</v>
      </c>
      <c r="C802" s="91" t="s">
        <v>549</v>
      </c>
      <c r="D802" s="118">
        <f t="shared" si="58"/>
        <v>294.17</v>
      </c>
      <c r="E802" s="118">
        <f t="shared" si="59"/>
        <v>58.83</v>
      </c>
      <c r="F802" s="123">
        <v>353</v>
      </c>
      <c r="H802" s="89"/>
      <c r="I802" s="89"/>
    </row>
    <row r="803" spans="1:11" s="83" customFormat="1" ht="17.25" hidden="1" customHeight="1" outlineLevel="2" x14ac:dyDescent="0.25">
      <c r="A803" s="144" t="s">
        <v>1243</v>
      </c>
      <c r="B803" s="70" t="s">
        <v>1182</v>
      </c>
      <c r="C803" s="91" t="s">
        <v>549</v>
      </c>
      <c r="D803" s="118">
        <f t="shared" si="58"/>
        <v>294.17</v>
      </c>
      <c r="E803" s="118">
        <f t="shared" si="59"/>
        <v>58.83</v>
      </c>
      <c r="F803" s="123">
        <v>353</v>
      </c>
      <c r="H803" s="89"/>
      <c r="I803" s="89"/>
    </row>
    <row r="804" spans="1:11" s="83" customFormat="1" ht="17.25" hidden="1" customHeight="1" outlineLevel="2" x14ac:dyDescent="0.25">
      <c r="A804" s="144" t="s">
        <v>1244</v>
      </c>
      <c r="B804" s="70" t="s">
        <v>1183</v>
      </c>
      <c r="C804" s="91" t="s">
        <v>549</v>
      </c>
      <c r="D804" s="118">
        <f t="shared" si="58"/>
        <v>294.17</v>
      </c>
      <c r="E804" s="118">
        <f t="shared" si="59"/>
        <v>58.83</v>
      </c>
      <c r="F804" s="123">
        <v>353</v>
      </c>
      <c r="H804" s="89"/>
      <c r="I804" s="89"/>
    </row>
    <row r="805" spans="1:11" s="83" customFormat="1" ht="31.5" hidden="1" outlineLevel="2" x14ac:dyDescent="0.25">
      <c r="A805" s="144" t="s">
        <v>1245</v>
      </c>
      <c r="B805" s="70" t="s">
        <v>1184</v>
      </c>
      <c r="C805" s="91" t="s">
        <v>549</v>
      </c>
      <c r="D805" s="118">
        <f t="shared" si="58"/>
        <v>294.17</v>
      </c>
      <c r="E805" s="118">
        <f t="shared" si="59"/>
        <v>58.83</v>
      </c>
      <c r="F805" s="123">
        <v>353</v>
      </c>
      <c r="H805" s="89"/>
      <c r="I805" s="89"/>
    </row>
    <row r="806" spans="1:11" s="83" customFormat="1" ht="18.75" hidden="1" outlineLevel="1" x14ac:dyDescent="0.25">
      <c r="A806" s="407" t="s">
        <v>1420</v>
      </c>
      <c r="B806" s="452"/>
      <c r="C806" s="452"/>
      <c r="D806" s="452"/>
      <c r="E806" s="452"/>
      <c r="F806" s="409"/>
      <c r="G806" s="146"/>
      <c r="H806" s="89"/>
      <c r="J806" s="89"/>
      <c r="K806" s="89"/>
    </row>
    <row r="807" spans="1:11" s="83" customFormat="1" ht="15.75" hidden="1" customHeight="1" outlineLevel="2" x14ac:dyDescent="0.25">
      <c r="A807" s="144" t="s">
        <v>1231</v>
      </c>
      <c r="B807" s="70" t="s">
        <v>1185</v>
      </c>
      <c r="C807" s="93" t="s">
        <v>549</v>
      </c>
      <c r="D807" s="118">
        <f t="shared" ref="D807:D817" si="60">F807-E807</f>
        <v>1477.5</v>
      </c>
      <c r="E807" s="118">
        <f>ROUND(F807*$E$7/$F$7,2)</f>
        <v>295.5</v>
      </c>
      <c r="F807" s="123">
        <v>1773</v>
      </c>
      <c r="H807" s="89"/>
      <c r="I807" s="89"/>
    </row>
    <row r="808" spans="1:11" s="83" customFormat="1" ht="15.75" hidden="1" customHeight="1" outlineLevel="2" x14ac:dyDescent="0.25">
      <c r="A808" s="144" t="s">
        <v>1232</v>
      </c>
      <c r="B808" s="70" t="s">
        <v>1186</v>
      </c>
      <c r="C808" s="93" t="s">
        <v>549</v>
      </c>
      <c r="D808" s="118">
        <f t="shared" si="60"/>
        <v>1477.5</v>
      </c>
      <c r="E808" s="118">
        <f>ROUND(F808*$E$7/$F$7,2)</f>
        <v>295.5</v>
      </c>
      <c r="F808" s="123">
        <v>1773</v>
      </c>
      <c r="H808" s="89"/>
      <c r="I808" s="89"/>
    </row>
    <row r="809" spans="1:11" s="83" customFormat="1" ht="15.75" hidden="1" customHeight="1" outlineLevel="2" x14ac:dyDescent="0.25">
      <c r="A809" s="144" t="s">
        <v>1233</v>
      </c>
      <c r="B809" s="70" t="s">
        <v>1187</v>
      </c>
      <c r="C809" s="93" t="s">
        <v>549</v>
      </c>
      <c r="D809" s="118">
        <f t="shared" si="60"/>
        <v>1477.5</v>
      </c>
      <c r="E809" s="118">
        <f t="shared" ref="E809:E817" si="61">ROUND(F809*$E$7/$F$7,2)</f>
        <v>295.5</v>
      </c>
      <c r="F809" s="123">
        <v>1773</v>
      </c>
      <c r="H809" s="89"/>
      <c r="I809" s="89"/>
    </row>
    <row r="810" spans="1:11" s="83" customFormat="1" ht="15.75" hidden="1" customHeight="1" outlineLevel="2" x14ac:dyDescent="0.25">
      <c r="A810" s="144" t="s">
        <v>1234</v>
      </c>
      <c r="B810" s="70" t="s">
        <v>1188</v>
      </c>
      <c r="C810" s="93" t="s">
        <v>549</v>
      </c>
      <c r="D810" s="118">
        <f t="shared" si="60"/>
        <v>1477.5</v>
      </c>
      <c r="E810" s="118">
        <f t="shared" si="61"/>
        <v>295.5</v>
      </c>
      <c r="F810" s="123">
        <v>1773</v>
      </c>
      <c r="H810" s="89"/>
      <c r="I810" s="89"/>
    </row>
    <row r="811" spans="1:11" s="83" customFormat="1" ht="15.75" hidden="1" customHeight="1" outlineLevel="2" x14ac:dyDescent="0.25">
      <c r="A811" s="144" t="s">
        <v>1235</v>
      </c>
      <c r="B811" s="70" t="s">
        <v>1189</v>
      </c>
      <c r="C811" s="93" t="s">
        <v>549</v>
      </c>
      <c r="D811" s="118">
        <f t="shared" si="60"/>
        <v>1477.5</v>
      </c>
      <c r="E811" s="118">
        <f t="shared" si="61"/>
        <v>295.5</v>
      </c>
      <c r="F811" s="123">
        <v>1773</v>
      </c>
      <c r="H811" s="89"/>
      <c r="I811" s="89"/>
    </row>
    <row r="812" spans="1:11" s="83" customFormat="1" ht="15.75" hidden="1" customHeight="1" outlineLevel="2" x14ac:dyDescent="0.25">
      <c r="A812" s="144" t="s">
        <v>1236</v>
      </c>
      <c r="B812" s="70" t="s">
        <v>1190</v>
      </c>
      <c r="C812" s="93" t="s">
        <v>549</v>
      </c>
      <c r="D812" s="118">
        <f t="shared" si="60"/>
        <v>1477.5</v>
      </c>
      <c r="E812" s="118">
        <f t="shared" si="61"/>
        <v>295.5</v>
      </c>
      <c r="F812" s="123">
        <v>1773</v>
      </c>
      <c r="H812" s="89"/>
      <c r="I812" s="89"/>
    </row>
    <row r="813" spans="1:11" customFormat="1" ht="15.75" hidden="1" customHeight="1" outlineLevel="2" x14ac:dyDescent="0.25">
      <c r="A813" s="144" t="s">
        <v>1237</v>
      </c>
      <c r="B813" s="70" t="s">
        <v>1191</v>
      </c>
      <c r="C813" s="93" t="s">
        <v>549</v>
      </c>
      <c r="D813" s="118">
        <f t="shared" si="60"/>
        <v>1477.5</v>
      </c>
      <c r="E813" s="118">
        <f t="shared" si="61"/>
        <v>295.5</v>
      </c>
      <c r="F813" s="123">
        <v>1773</v>
      </c>
      <c r="G813" s="83"/>
      <c r="H813" s="84"/>
      <c r="I813" s="84"/>
    </row>
    <row r="814" spans="1:11" customFormat="1" ht="15.75" hidden="1" customHeight="1" outlineLevel="2" x14ac:dyDescent="0.25">
      <c r="A814" s="144" t="s">
        <v>1238</v>
      </c>
      <c r="B814" s="70" t="s">
        <v>1192</v>
      </c>
      <c r="C814" s="93" t="s">
        <v>549</v>
      </c>
      <c r="D814" s="118">
        <f t="shared" si="60"/>
        <v>1477.5</v>
      </c>
      <c r="E814" s="118">
        <f t="shared" si="61"/>
        <v>295.5</v>
      </c>
      <c r="F814" s="123">
        <v>1773</v>
      </c>
      <c r="G814" s="83"/>
      <c r="H814" s="84"/>
      <c r="I814" s="84"/>
    </row>
    <row r="815" spans="1:11" customFormat="1" ht="15.75" hidden="1" customHeight="1" outlineLevel="2" x14ac:dyDescent="0.25">
      <c r="A815" s="144" t="s">
        <v>1239</v>
      </c>
      <c r="B815" s="70" t="s">
        <v>1193</v>
      </c>
      <c r="C815" s="93" t="s">
        <v>549</v>
      </c>
      <c r="D815" s="118">
        <f t="shared" si="60"/>
        <v>1230.83</v>
      </c>
      <c r="E815" s="118">
        <f t="shared" si="61"/>
        <v>246.17</v>
      </c>
      <c r="F815" s="123">
        <v>1477</v>
      </c>
      <c r="G815" s="83"/>
      <c r="H815" s="84"/>
      <c r="I815" s="84"/>
    </row>
    <row r="816" spans="1:11" customFormat="1" ht="15.75" hidden="1" customHeight="1" outlineLevel="2" x14ac:dyDescent="0.25">
      <c r="A816" s="144" t="s">
        <v>1240</v>
      </c>
      <c r="B816" s="70" t="s">
        <v>1194</v>
      </c>
      <c r="C816" s="91" t="s">
        <v>549</v>
      </c>
      <c r="D816" s="118">
        <f t="shared" si="60"/>
        <v>185</v>
      </c>
      <c r="E816" s="118">
        <f t="shared" si="61"/>
        <v>37</v>
      </c>
      <c r="F816" s="123">
        <v>222</v>
      </c>
      <c r="G816" s="83"/>
      <c r="H816" s="84"/>
      <c r="I816" s="84"/>
    </row>
    <row r="817" spans="1:11" customFormat="1" ht="15.75" hidden="1" customHeight="1" outlineLevel="2" x14ac:dyDescent="0.25">
      <c r="A817" s="143" t="s">
        <v>1241</v>
      </c>
      <c r="B817" s="134" t="s">
        <v>1195</v>
      </c>
      <c r="C817" s="135" t="s">
        <v>549</v>
      </c>
      <c r="D817" s="131">
        <f t="shared" si="60"/>
        <v>451.67</v>
      </c>
      <c r="E817" s="131">
        <f t="shared" si="61"/>
        <v>90.33</v>
      </c>
      <c r="F817" s="136">
        <v>542</v>
      </c>
      <c r="G817" s="83"/>
      <c r="H817" s="84"/>
      <c r="I817" s="84"/>
    </row>
    <row r="818" spans="1:11" customFormat="1" ht="18.75" hidden="1" outlineLevel="1" x14ac:dyDescent="0.25">
      <c r="A818" s="407" t="s">
        <v>1509</v>
      </c>
      <c r="B818" s="452"/>
      <c r="C818" s="452"/>
      <c r="D818" s="452"/>
      <c r="E818" s="452"/>
      <c r="F818" s="409"/>
      <c r="G818" s="83"/>
      <c r="H818" s="84"/>
      <c r="I818" s="95"/>
      <c r="J818" s="84"/>
      <c r="K818" s="84"/>
    </row>
    <row r="819" spans="1:11" customFormat="1" hidden="1" outlineLevel="2" x14ac:dyDescent="0.25">
      <c r="A819" s="144" t="s">
        <v>1231</v>
      </c>
      <c r="B819" s="70" t="s">
        <v>1196</v>
      </c>
      <c r="C819" s="96" t="s">
        <v>549</v>
      </c>
      <c r="D819" s="118">
        <f t="shared" ref="D819:D821" si="62">F819-E819</f>
        <v>256.67</v>
      </c>
      <c r="E819" s="118">
        <f t="shared" ref="E819:E821" si="63">ROUND(F819*$E$7/$F$7,2)</f>
        <v>51.33</v>
      </c>
      <c r="F819" s="123">
        <v>308</v>
      </c>
      <c r="G819" s="95"/>
      <c r="H819" s="84"/>
      <c r="I819" s="84"/>
    </row>
    <row r="820" spans="1:11" customFormat="1" hidden="1" outlineLevel="2" x14ac:dyDescent="0.25">
      <c r="A820" s="144" t="s">
        <v>1232</v>
      </c>
      <c r="B820" s="70" t="s">
        <v>1197</v>
      </c>
      <c r="C820" s="94" t="s">
        <v>549</v>
      </c>
      <c r="D820" s="118">
        <f t="shared" si="62"/>
        <v>235</v>
      </c>
      <c r="E820" s="118">
        <f t="shared" si="63"/>
        <v>47</v>
      </c>
      <c r="F820" s="123">
        <v>282</v>
      </c>
      <c r="G820" s="95"/>
      <c r="H820" s="84"/>
      <c r="I820" s="84"/>
    </row>
    <row r="821" spans="1:11" customFormat="1" hidden="1" outlineLevel="2" x14ac:dyDescent="0.25">
      <c r="A821" s="144" t="s">
        <v>1233</v>
      </c>
      <c r="B821" s="70" t="s">
        <v>1198</v>
      </c>
      <c r="C821" s="94" t="s">
        <v>549</v>
      </c>
      <c r="D821" s="118">
        <f t="shared" si="62"/>
        <v>185</v>
      </c>
      <c r="E821" s="118">
        <f t="shared" si="63"/>
        <v>37</v>
      </c>
      <c r="F821" s="123">
        <v>222</v>
      </c>
      <c r="G821" s="95"/>
      <c r="H821" s="84"/>
      <c r="I821" s="84"/>
    </row>
    <row r="822" spans="1:11" customFormat="1" ht="18.75" hidden="1" outlineLevel="1" x14ac:dyDescent="0.25">
      <c r="A822" s="407" t="s">
        <v>1508</v>
      </c>
      <c r="B822" s="452"/>
      <c r="C822" s="452"/>
      <c r="D822" s="452"/>
      <c r="E822" s="452"/>
      <c r="F822" s="409"/>
      <c r="G822" s="95"/>
      <c r="H822" s="84"/>
      <c r="I822" s="95"/>
      <c r="J822" s="84"/>
      <c r="K822" s="84"/>
    </row>
    <row r="823" spans="1:11" customFormat="1" ht="15.75" hidden="1" customHeight="1" outlineLevel="2" x14ac:dyDescent="0.25">
      <c r="A823" s="144" t="s">
        <v>1231</v>
      </c>
      <c r="B823" s="70" t="s">
        <v>1199</v>
      </c>
      <c r="C823" s="96" t="s">
        <v>549</v>
      </c>
      <c r="D823" s="118">
        <f t="shared" ref="D823:D829" si="64">F823-E823</f>
        <v>150</v>
      </c>
      <c r="E823" s="118">
        <f t="shared" ref="E823:E829" si="65">ROUND(F823*$E$7/$F$7,2)</f>
        <v>30</v>
      </c>
      <c r="F823" s="123">
        <v>180</v>
      </c>
      <c r="G823" s="95"/>
      <c r="H823" s="84"/>
      <c r="I823" s="84"/>
    </row>
    <row r="824" spans="1:11" customFormat="1" hidden="1" outlineLevel="2" x14ac:dyDescent="0.25">
      <c r="A824" s="144" t="s">
        <v>1232</v>
      </c>
      <c r="B824" s="70" t="s">
        <v>1200</v>
      </c>
      <c r="C824" s="96" t="s">
        <v>549</v>
      </c>
      <c r="D824" s="118">
        <f t="shared" si="64"/>
        <v>257.5</v>
      </c>
      <c r="E824" s="118">
        <f t="shared" si="65"/>
        <v>51.5</v>
      </c>
      <c r="F824" s="123">
        <v>309</v>
      </c>
      <c r="G824" s="95"/>
      <c r="H824" s="84"/>
      <c r="I824" s="84"/>
    </row>
    <row r="825" spans="1:11" customFormat="1" hidden="1" outlineLevel="2" x14ac:dyDescent="0.25">
      <c r="A825" s="144" t="s">
        <v>1233</v>
      </c>
      <c r="B825" s="70" t="s">
        <v>1201</v>
      </c>
      <c r="C825" s="96" t="s">
        <v>549</v>
      </c>
      <c r="D825" s="118">
        <f t="shared" si="64"/>
        <v>162.5</v>
      </c>
      <c r="E825" s="118">
        <f t="shared" si="65"/>
        <v>32.5</v>
      </c>
      <c r="F825" s="123">
        <v>195</v>
      </c>
      <c r="G825" s="95"/>
      <c r="H825" s="84"/>
      <c r="I825" s="84"/>
    </row>
    <row r="826" spans="1:11" customFormat="1" hidden="1" outlineLevel="2" x14ac:dyDescent="0.25">
      <c r="A826" s="144" t="s">
        <v>1234</v>
      </c>
      <c r="B826" s="70" t="s">
        <v>1202</v>
      </c>
      <c r="C826" s="96" t="s">
        <v>549</v>
      </c>
      <c r="D826" s="118">
        <f t="shared" si="64"/>
        <v>257.5</v>
      </c>
      <c r="E826" s="118">
        <f t="shared" si="65"/>
        <v>51.5</v>
      </c>
      <c r="F826" s="123">
        <v>309</v>
      </c>
      <c r="G826" s="95"/>
      <c r="H826" s="84"/>
      <c r="I826" s="84"/>
    </row>
    <row r="827" spans="1:11" customFormat="1" hidden="1" outlineLevel="2" x14ac:dyDescent="0.25">
      <c r="A827" s="144" t="s">
        <v>1235</v>
      </c>
      <c r="B827" s="70" t="s">
        <v>1203</v>
      </c>
      <c r="C827" s="96" t="s">
        <v>549</v>
      </c>
      <c r="D827" s="118">
        <f t="shared" si="64"/>
        <v>207.5</v>
      </c>
      <c r="E827" s="118">
        <f t="shared" si="65"/>
        <v>41.5</v>
      </c>
      <c r="F827" s="123">
        <v>249</v>
      </c>
      <c r="G827" s="95"/>
      <c r="H827" s="84"/>
      <c r="I827" s="84"/>
    </row>
    <row r="828" spans="1:11" customFormat="1" hidden="1" outlineLevel="2" x14ac:dyDescent="0.25">
      <c r="A828" s="144" t="s">
        <v>1236</v>
      </c>
      <c r="B828" s="70" t="s">
        <v>1204</v>
      </c>
      <c r="C828" s="96" t="s">
        <v>549</v>
      </c>
      <c r="D828" s="118">
        <f t="shared" si="64"/>
        <v>221.67000000000002</v>
      </c>
      <c r="E828" s="118">
        <f t="shared" si="65"/>
        <v>44.33</v>
      </c>
      <c r="F828" s="123">
        <v>266</v>
      </c>
      <c r="G828" s="95"/>
      <c r="H828" s="84"/>
      <c r="I828" s="84"/>
    </row>
    <row r="829" spans="1:11" customFormat="1" hidden="1" outlineLevel="2" x14ac:dyDescent="0.25">
      <c r="A829" s="144" t="s">
        <v>1237</v>
      </c>
      <c r="B829" s="70" t="s">
        <v>1205</v>
      </c>
      <c r="C829" s="96" t="s">
        <v>549</v>
      </c>
      <c r="D829" s="118">
        <f t="shared" si="64"/>
        <v>90</v>
      </c>
      <c r="E829" s="118">
        <f t="shared" si="65"/>
        <v>18</v>
      </c>
      <c r="F829" s="123">
        <v>108</v>
      </c>
      <c r="G829" s="95"/>
      <c r="H829" s="84"/>
      <c r="I829" s="84"/>
    </row>
    <row r="830" spans="1:11" customFormat="1" ht="18.75" hidden="1" x14ac:dyDescent="0.25">
      <c r="A830" s="392" t="s">
        <v>1388</v>
      </c>
      <c r="B830" s="393"/>
      <c r="C830" s="393"/>
      <c r="D830" s="393"/>
      <c r="E830" s="393"/>
      <c r="F830" s="394"/>
      <c r="G830" s="95"/>
      <c r="H830" s="84"/>
      <c r="I830" s="95"/>
      <c r="J830" s="84"/>
      <c r="K830" s="84"/>
    </row>
    <row r="831" spans="1:11" customFormat="1" ht="18.75" hidden="1" outlineLevel="1" x14ac:dyDescent="0.25">
      <c r="A831" s="392" t="s">
        <v>1510</v>
      </c>
      <c r="B831" s="393"/>
      <c r="C831" s="393"/>
      <c r="D831" s="393"/>
      <c r="E831" s="393"/>
      <c r="F831" s="394"/>
      <c r="G831" s="95"/>
      <c r="H831" s="84"/>
      <c r="I831" s="83"/>
      <c r="J831" s="84"/>
      <c r="K831" s="84"/>
    </row>
    <row r="832" spans="1:11" customFormat="1" hidden="1" outlineLevel="2" x14ac:dyDescent="0.25">
      <c r="A832" s="144" t="s">
        <v>5</v>
      </c>
      <c r="B832" s="70" t="s">
        <v>1206</v>
      </c>
      <c r="C832" s="97" t="s">
        <v>6</v>
      </c>
      <c r="D832" s="118">
        <f t="shared" ref="D832:D833" si="66">F832-E832</f>
        <v>312.5</v>
      </c>
      <c r="E832" s="118">
        <f t="shared" ref="E832:E833" si="67">ROUND(F832*$E$7/$F$7,2)</f>
        <v>62.5</v>
      </c>
      <c r="F832" s="123">
        <v>375</v>
      </c>
      <c r="G832" s="95"/>
      <c r="H832" s="84"/>
      <c r="I832" s="84"/>
    </row>
    <row r="833" spans="1:11" customFormat="1" hidden="1" outlineLevel="2" x14ac:dyDescent="0.25">
      <c r="A833" s="144" t="s">
        <v>7</v>
      </c>
      <c r="B833" s="70" t="s">
        <v>1209</v>
      </c>
      <c r="C833" s="97" t="s">
        <v>6</v>
      </c>
      <c r="D833" s="118">
        <f t="shared" si="66"/>
        <v>282.5</v>
      </c>
      <c r="E833" s="118">
        <f t="shared" si="67"/>
        <v>56.5</v>
      </c>
      <c r="F833" s="123">
        <v>339</v>
      </c>
      <c r="G833" s="95"/>
      <c r="H833" s="84"/>
      <c r="I833" s="84"/>
    </row>
    <row r="834" spans="1:11" customFormat="1" ht="18.75" hidden="1" outlineLevel="1" x14ac:dyDescent="0.25">
      <c r="A834" s="392" t="s">
        <v>1511</v>
      </c>
      <c r="B834" s="393"/>
      <c r="C834" s="393"/>
      <c r="D834" s="393"/>
      <c r="E834" s="393"/>
      <c r="F834" s="394"/>
      <c r="G834" s="95"/>
      <c r="H834" s="84"/>
      <c r="I834" s="83"/>
      <c r="J834" s="84"/>
      <c r="K834" s="84"/>
    </row>
    <row r="835" spans="1:11" customFormat="1" hidden="1" outlineLevel="2" x14ac:dyDescent="0.25">
      <c r="A835" s="144" t="s">
        <v>30</v>
      </c>
      <c r="B835" s="70" t="s">
        <v>240</v>
      </c>
      <c r="C835" s="98" t="s">
        <v>6</v>
      </c>
      <c r="D835" s="118">
        <f t="shared" ref="D835:D837" si="68">F835-E835</f>
        <v>130</v>
      </c>
      <c r="E835" s="118">
        <f t="shared" ref="E835:E837" si="69">ROUND(F835*$E$7/$F$7,2)</f>
        <v>26</v>
      </c>
      <c r="F835" s="123">
        <v>156</v>
      </c>
      <c r="G835" s="83"/>
      <c r="H835" s="84"/>
      <c r="I835" s="84"/>
    </row>
    <row r="836" spans="1:11" customFormat="1" hidden="1" outlineLevel="2" x14ac:dyDescent="0.25">
      <c r="A836" s="144" t="s">
        <v>31</v>
      </c>
      <c r="B836" s="70" t="s">
        <v>241</v>
      </c>
      <c r="C836" s="98" t="s">
        <v>6</v>
      </c>
      <c r="D836" s="118">
        <f t="shared" si="68"/>
        <v>217.5</v>
      </c>
      <c r="E836" s="118">
        <f t="shared" si="69"/>
        <v>43.5</v>
      </c>
      <c r="F836" s="123">
        <v>261</v>
      </c>
      <c r="G836" s="83"/>
      <c r="H836" s="84"/>
      <c r="I836" s="84"/>
    </row>
    <row r="837" spans="1:11" customFormat="1" hidden="1" outlineLevel="2" x14ac:dyDescent="0.25">
      <c r="A837" s="144" t="s">
        <v>32</v>
      </c>
      <c r="B837" s="70" t="s">
        <v>289</v>
      </c>
      <c r="C837" s="98" t="s">
        <v>6</v>
      </c>
      <c r="D837" s="118">
        <f t="shared" si="68"/>
        <v>190.82999999999998</v>
      </c>
      <c r="E837" s="118">
        <f t="shared" si="69"/>
        <v>38.17</v>
      </c>
      <c r="F837" s="123">
        <v>229</v>
      </c>
      <c r="G837" s="83"/>
      <c r="H837" s="84"/>
      <c r="I837" s="84"/>
    </row>
    <row r="838" spans="1:11" customFormat="1" ht="18.75" hidden="1" outlineLevel="1" x14ac:dyDescent="0.25">
      <c r="A838" s="392" t="s">
        <v>1415</v>
      </c>
      <c r="B838" s="393"/>
      <c r="C838" s="393"/>
      <c r="D838" s="393"/>
      <c r="E838" s="393"/>
      <c r="F838" s="394"/>
      <c r="G838" s="83"/>
      <c r="H838" s="84"/>
      <c r="I838" s="83"/>
      <c r="J838" s="84"/>
      <c r="K838" s="84"/>
    </row>
    <row r="839" spans="1:11" customFormat="1" hidden="1" outlineLevel="2" x14ac:dyDescent="0.25">
      <c r="A839" s="144" t="s">
        <v>235</v>
      </c>
      <c r="B839" s="70" t="s">
        <v>1207</v>
      </c>
      <c r="C839" s="97" t="s">
        <v>6</v>
      </c>
      <c r="D839" s="118">
        <f t="shared" ref="D839:D840" si="70">F839-E839</f>
        <v>416.67</v>
      </c>
      <c r="E839" s="118">
        <f t="shared" ref="E839:E840" si="71">ROUND(F839*$E$7/$F$7,2)</f>
        <v>83.33</v>
      </c>
      <c r="F839" s="123">
        <v>500</v>
      </c>
      <c r="G839" s="83"/>
      <c r="H839" s="84"/>
      <c r="I839" s="84"/>
    </row>
    <row r="840" spans="1:11" customFormat="1" hidden="1" outlineLevel="2" x14ac:dyDescent="0.25">
      <c r="A840" s="144" t="s">
        <v>39</v>
      </c>
      <c r="B840" s="70" t="s">
        <v>1208</v>
      </c>
      <c r="C840" s="97" t="s">
        <v>6</v>
      </c>
      <c r="D840" s="118">
        <f t="shared" si="70"/>
        <v>416.67</v>
      </c>
      <c r="E840" s="118">
        <f t="shared" si="71"/>
        <v>83.33</v>
      </c>
      <c r="F840" s="123">
        <v>500</v>
      </c>
      <c r="G840" s="83"/>
      <c r="H840" s="84"/>
      <c r="I840" s="84"/>
    </row>
    <row r="841" spans="1:11" ht="6" hidden="1" customHeight="1" x14ac:dyDescent="0.25">
      <c r="A841" s="49"/>
      <c r="B841" s="139"/>
      <c r="C841" s="81"/>
      <c r="D841" s="81"/>
      <c r="E841" s="81"/>
      <c r="F841" s="72"/>
    </row>
    <row r="842" spans="1:11" hidden="1" x14ac:dyDescent="0.25">
      <c r="A842" s="49" t="s">
        <v>405</v>
      </c>
      <c r="B842" s="417" t="s">
        <v>1506</v>
      </c>
      <c r="C842" s="417"/>
      <c r="D842" s="417"/>
      <c r="E842" s="417"/>
      <c r="F842" s="417"/>
    </row>
    <row r="843" spans="1:11" ht="31.5" hidden="1" customHeight="1" x14ac:dyDescent="0.25">
      <c r="A843" s="49" t="s">
        <v>1398</v>
      </c>
      <c r="B843" s="417" t="s">
        <v>1507</v>
      </c>
      <c r="C843" s="417"/>
      <c r="D843" s="417"/>
      <c r="E843" s="417"/>
      <c r="F843" s="417"/>
    </row>
    <row r="844" spans="1:11" hidden="1" x14ac:dyDescent="0.25">
      <c r="A844" s="49" t="s">
        <v>1411</v>
      </c>
      <c r="B844" s="417" t="s">
        <v>1414</v>
      </c>
      <c r="C844" s="417"/>
      <c r="D844" s="417"/>
      <c r="E844" s="417"/>
      <c r="F844" s="417"/>
    </row>
    <row r="845" spans="1:11" hidden="1" x14ac:dyDescent="0.25">
      <c r="A845" s="49" t="s">
        <v>1412</v>
      </c>
      <c r="B845" s="417" t="s">
        <v>1413</v>
      </c>
      <c r="C845" s="417"/>
      <c r="D845" s="417"/>
      <c r="E845" s="417"/>
      <c r="F845" s="417"/>
    </row>
    <row r="846" spans="1:11" ht="6.75" hidden="1" customHeight="1" x14ac:dyDescent="0.25">
      <c r="A846" s="49"/>
      <c r="B846" s="139"/>
      <c r="C846" s="81"/>
      <c r="D846" s="81"/>
      <c r="E846" s="81"/>
      <c r="F846" s="72"/>
    </row>
    <row r="847" spans="1:11" s="101" customFormat="1" ht="18.75" x14ac:dyDescent="0.25">
      <c r="A847" s="419" t="s">
        <v>1219</v>
      </c>
      <c r="B847" s="419"/>
      <c r="C847" s="419"/>
      <c r="D847" s="419"/>
      <c r="E847" s="419"/>
      <c r="F847" s="419"/>
    </row>
    <row r="848" spans="1:11" s="101" customFormat="1" ht="9" customHeight="1" x14ac:dyDescent="0.3">
      <c r="A848" s="102"/>
      <c r="B848" s="103"/>
      <c r="C848" s="103"/>
      <c r="D848" s="124"/>
      <c r="E848" s="124"/>
      <c r="F848" s="124"/>
    </row>
    <row r="849" spans="1:9" s="101" customFormat="1" ht="52.5" customHeight="1" x14ac:dyDescent="0.25">
      <c r="A849" s="420" t="s">
        <v>1224</v>
      </c>
      <c r="B849" s="420"/>
      <c r="C849" s="420"/>
      <c r="D849" s="420"/>
      <c r="E849" s="420"/>
      <c r="F849" s="420"/>
    </row>
    <row r="850" spans="1:9" s="101" customFormat="1" ht="6" customHeight="1" x14ac:dyDescent="0.3">
      <c r="A850" s="102"/>
      <c r="B850" s="103"/>
      <c r="C850" s="103"/>
      <c r="D850" s="124"/>
      <c r="E850" s="124"/>
      <c r="F850" s="124"/>
    </row>
    <row r="851" spans="1:9" s="101" customFormat="1" ht="52.5" customHeight="1" x14ac:dyDescent="0.25">
      <c r="A851" s="421" t="s">
        <v>1223</v>
      </c>
      <c r="B851" s="421"/>
      <c r="C851" s="421"/>
      <c r="D851" s="421"/>
      <c r="E851" s="421"/>
      <c r="F851" s="421"/>
    </row>
    <row r="852" spans="1:9" s="48" customFormat="1" ht="6" customHeight="1" x14ac:dyDescent="0.25">
      <c r="A852" s="416"/>
      <c r="B852" s="416"/>
      <c r="C852" s="416"/>
      <c r="D852" s="416"/>
      <c r="E852" s="416"/>
      <c r="F852" s="416"/>
      <c r="I852" s="57"/>
    </row>
    <row r="853" spans="1:9" s="59" customFormat="1" x14ac:dyDescent="0.25">
      <c r="A853" s="415" t="s">
        <v>1227</v>
      </c>
      <c r="B853" s="415"/>
      <c r="C853" s="415"/>
      <c r="D853" s="415"/>
      <c r="E853" s="415"/>
      <c r="F853" s="415"/>
      <c r="I853" s="60"/>
    </row>
    <row r="854" spans="1:9" s="59" customFormat="1" ht="6" customHeight="1" x14ac:dyDescent="0.25">
      <c r="A854" s="78"/>
      <c r="C854" s="78"/>
      <c r="D854" s="78"/>
      <c r="E854" s="78"/>
      <c r="F854" s="74"/>
      <c r="I854" s="60"/>
    </row>
    <row r="855" spans="1:9" s="59" customFormat="1" x14ac:dyDescent="0.25">
      <c r="A855" s="421" t="s">
        <v>1389</v>
      </c>
      <c r="B855" s="421"/>
      <c r="C855" s="421"/>
      <c r="D855" s="421"/>
      <c r="E855" s="421"/>
      <c r="F855" s="421"/>
      <c r="I855" s="60"/>
    </row>
    <row r="856" spans="1:9" ht="6" customHeight="1" x14ac:dyDescent="0.3">
      <c r="A856" s="77" t="s">
        <v>239</v>
      </c>
      <c r="B856" s="18"/>
    </row>
    <row r="857" spans="1:9" ht="35.25" customHeight="1" x14ac:dyDescent="0.25">
      <c r="A857" s="421" t="s">
        <v>1390</v>
      </c>
      <c r="B857" s="421"/>
      <c r="C857" s="421"/>
      <c r="D857" s="421"/>
      <c r="E857" s="421"/>
      <c r="F857" s="421"/>
    </row>
    <row r="858" spans="1:9" ht="6" customHeight="1" x14ac:dyDescent="0.25"/>
    <row r="859" spans="1:9" ht="34.5" customHeight="1" x14ac:dyDescent="0.25">
      <c r="A859" s="421" t="s">
        <v>1391</v>
      </c>
      <c r="B859" s="421"/>
      <c r="C859" s="421"/>
      <c r="D859" s="421"/>
      <c r="E859" s="421"/>
      <c r="F859" s="421"/>
    </row>
    <row r="860" spans="1:9" s="59" customFormat="1" ht="6" customHeight="1" x14ac:dyDescent="0.25">
      <c r="A860" s="140"/>
      <c r="B860" s="140"/>
      <c r="C860" s="140"/>
      <c r="D860" s="140"/>
      <c r="E860" s="140"/>
      <c r="F860" s="140"/>
      <c r="I860" s="60"/>
    </row>
    <row r="862" spans="1:9" ht="18.75" x14ac:dyDescent="0.25">
      <c r="A862" s="7"/>
      <c r="B862" s="8"/>
      <c r="C862" s="82"/>
      <c r="D862" s="125"/>
      <c r="E862" s="125"/>
      <c r="F862" s="126"/>
    </row>
    <row r="863" spans="1:9" ht="18.75" x14ac:dyDescent="0.25">
      <c r="A863" s="7"/>
      <c r="B863" s="8"/>
      <c r="C863" s="82"/>
      <c r="D863" s="125"/>
      <c r="E863" s="125"/>
      <c r="F863" s="126"/>
    </row>
    <row r="864" spans="1:9" ht="18.75" x14ac:dyDescent="0.25">
      <c r="A864" s="7"/>
      <c r="B864" s="8"/>
      <c r="C864" s="82"/>
      <c r="D864" s="125"/>
      <c r="E864" s="125"/>
      <c r="F864" s="126"/>
    </row>
    <row r="865" spans="1:6" s="1" customFormat="1" ht="18.75" x14ac:dyDescent="0.25">
      <c r="A865" s="7"/>
      <c r="B865" s="8"/>
      <c r="C865" s="82"/>
      <c r="D865" s="125"/>
      <c r="E865" s="125"/>
      <c r="F865" s="126"/>
    </row>
    <row r="866" spans="1:6" s="1" customFormat="1" ht="18.75" x14ac:dyDescent="0.25">
      <c r="A866" s="7"/>
      <c r="B866" s="8"/>
      <c r="C866" s="82"/>
      <c r="D866" s="125"/>
      <c r="E866" s="125"/>
      <c r="F866" s="126"/>
    </row>
    <row r="867" spans="1:6" s="1" customFormat="1" ht="18.75" x14ac:dyDescent="0.25">
      <c r="A867" s="7"/>
      <c r="B867" s="8"/>
      <c r="C867" s="82"/>
      <c r="D867" s="125"/>
      <c r="E867" s="125"/>
      <c r="F867" s="126"/>
    </row>
    <row r="868" spans="1:6" s="1" customFormat="1" ht="18.75" x14ac:dyDescent="0.25">
      <c r="A868" s="7"/>
      <c r="B868" s="8"/>
      <c r="C868" s="82"/>
      <c r="D868" s="125"/>
      <c r="E868" s="125"/>
      <c r="F868" s="126"/>
    </row>
    <row r="869" spans="1:6" s="1" customFormat="1" ht="18.75" x14ac:dyDescent="0.25">
      <c r="A869" s="7"/>
      <c r="B869" s="8"/>
      <c r="C869" s="82"/>
      <c r="D869" s="125"/>
      <c r="E869" s="125"/>
      <c r="F869" s="126"/>
    </row>
    <row r="870" spans="1:6" s="1" customFormat="1" ht="18.75" x14ac:dyDescent="0.25">
      <c r="A870" s="7"/>
      <c r="B870" s="8"/>
      <c r="C870" s="82"/>
      <c r="D870" s="125"/>
      <c r="E870" s="125"/>
      <c r="F870" s="126"/>
    </row>
    <row r="871" spans="1:6" s="1" customFormat="1" ht="18.75" x14ac:dyDescent="0.25">
      <c r="A871" s="7"/>
      <c r="B871" s="8"/>
      <c r="C871" s="82"/>
      <c r="D871" s="125"/>
      <c r="E871" s="125"/>
      <c r="F871" s="126"/>
    </row>
    <row r="872" spans="1:6" s="1" customFormat="1" ht="18.75" x14ac:dyDescent="0.25">
      <c r="A872" s="7"/>
      <c r="B872" s="8"/>
      <c r="C872" s="82"/>
      <c r="D872" s="125"/>
      <c r="E872" s="125"/>
      <c r="F872" s="126"/>
    </row>
    <row r="873" spans="1:6" s="1" customFormat="1" ht="18.75" x14ac:dyDescent="0.25">
      <c r="A873" s="456"/>
      <c r="B873" s="456"/>
      <c r="C873" s="456"/>
      <c r="D873" s="456"/>
      <c r="E873" s="456"/>
      <c r="F873" s="456"/>
    </row>
    <row r="874" spans="1:6" s="1" customFormat="1" ht="18.75" x14ac:dyDescent="0.25">
      <c r="A874" s="7"/>
      <c r="B874" s="9"/>
      <c r="C874" s="82"/>
      <c r="D874" s="125"/>
      <c r="E874" s="125"/>
      <c r="F874" s="127"/>
    </row>
    <row r="875" spans="1:6" s="1" customFormat="1" ht="18.75" x14ac:dyDescent="0.25">
      <c r="A875" s="7"/>
      <c r="B875" s="9"/>
      <c r="C875" s="82"/>
      <c r="D875" s="125"/>
      <c r="E875" s="125"/>
      <c r="F875" s="127"/>
    </row>
    <row r="876" spans="1:6" s="1" customFormat="1" ht="18.75" x14ac:dyDescent="0.25">
      <c r="A876" s="454"/>
      <c r="B876" s="454"/>
      <c r="C876" s="454"/>
      <c r="D876" s="454"/>
      <c r="E876" s="454"/>
      <c r="F876" s="454"/>
    </row>
    <row r="877" spans="1:6" s="1" customFormat="1" ht="18.75" x14ac:dyDescent="0.25">
      <c r="A877" s="7"/>
      <c r="B877" s="8"/>
      <c r="C877" s="82"/>
      <c r="D877" s="125"/>
      <c r="E877" s="125"/>
      <c r="F877" s="126"/>
    </row>
    <row r="878" spans="1:6" s="1" customFormat="1" ht="18.75" x14ac:dyDescent="0.25">
      <c r="A878" s="7"/>
      <c r="B878" s="8"/>
      <c r="C878" s="82"/>
      <c r="D878" s="125"/>
      <c r="E878" s="125"/>
      <c r="F878" s="126"/>
    </row>
    <row r="879" spans="1:6" s="1" customFormat="1" ht="18.75" x14ac:dyDescent="0.25">
      <c r="A879" s="7"/>
      <c r="B879" s="8"/>
      <c r="C879" s="82"/>
      <c r="D879" s="125"/>
      <c r="E879" s="125"/>
      <c r="F879" s="126"/>
    </row>
    <row r="880" spans="1:6" s="1" customFormat="1" ht="18.75" x14ac:dyDescent="0.25">
      <c r="A880" s="7"/>
      <c r="B880" s="8"/>
      <c r="C880" s="82"/>
      <c r="D880" s="125"/>
      <c r="E880" s="125"/>
      <c r="F880" s="126"/>
    </row>
    <row r="881" spans="1:9" ht="18.75" x14ac:dyDescent="0.25">
      <c r="A881" s="7"/>
      <c r="B881" s="8"/>
      <c r="C881" s="82"/>
      <c r="D881" s="125"/>
      <c r="E881" s="125"/>
      <c r="F881" s="126"/>
    </row>
    <row r="882" spans="1:9" ht="18.75" x14ac:dyDescent="0.25">
      <c r="A882" s="7"/>
      <c r="B882" s="8"/>
      <c r="C882" s="82"/>
      <c r="D882" s="125"/>
      <c r="E882" s="125"/>
      <c r="F882" s="126"/>
    </row>
    <row r="883" spans="1:9" ht="18.75" x14ac:dyDescent="0.25">
      <c r="A883" s="454"/>
      <c r="B883" s="454"/>
      <c r="C883" s="454"/>
      <c r="D883" s="454"/>
      <c r="E883" s="454"/>
      <c r="F883" s="454"/>
    </row>
    <row r="884" spans="1:9" ht="18.75" x14ac:dyDescent="0.25">
      <c r="A884" s="7"/>
      <c r="B884" s="8"/>
      <c r="C884" s="82"/>
      <c r="D884" s="125"/>
      <c r="E884" s="125"/>
      <c r="F884" s="126"/>
    </row>
    <row r="885" spans="1:9" ht="18.75" x14ac:dyDescent="0.25">
      <c r="A885" s="7"/>
      <c r="B885" s="8"/>
      <c r="C885" s="82"/>
      <c r="D885" s="125"/>
      <c r="E885" s="125"/>
      <c r="F885" s="126"/>
    </row>
    <row r="886" spans="1:9" ht="18.75" x14ac:dyDescent="0.25">
      <c r="A886" s="7"/>
      <c r="B886" s="8"/>
      <c r="C886" s="82"/>
      <c r="D886" s="125"/>
      <c r="E886" s="125"/>
      <c r="F886" s="126"/>
    </row>
    <row r="887" spans="1:9" ht="18.75" x14ac:dyDescent="0.25">
      <c r="A887" s="7"/>
      <c r="B887" s="8"/>
      <c r="C887" s="82"/>
      <c r="D887" s="125"/>
      <c r="E887" s="125"/>
      <c r="F887" s="126"/>
    </row>
    <row r="888" spans="1:9" ht="18.75" x14ac:dyDescent="0.25">
      <c r="A888" s="7"/>
      <c r="B888" s="8"/>
      <c r="C888" s="82"/>
      <c r="D888" s="125"/>
      <c r="E888" s="125"/>
      <c r="F888" s="126"/>
    </row>
    <row r="889" spans="1:9" s="5" customFormat="1" ht="18.75" x14ac:dyDescent="0.25">
      <c r="A889" s="7"/>
      <c r="B889" s="8"/>
      <c r="C889" s="82"/>
      <c r="D889" s="125"/>
      <c r="E889" s="125"/>
      <c r="F889" s="126"/>
      <c r="I889" s="58"/>
    </row>
    <row r="890" spans="1:9" ht="18.75" x14ac:dyDescent="0.25">
      <c r="A890" s="7"/>
      <c r="B890" s="8"/>
      <c r="C890" s="82"/>
      <c r="D890" s="125"/>
      <c r="E890" s="125"/>
      <c r="F890" s="126"/>
    </row>
    <row r="891" spans="1:9" ht="18.75" x14ac:dyDescent="0.25">
      <c r="A891" s="455"/>
      <c r="B891" s="455"/>
      <c r="C891" s="455"/>
      <c r="D891" s="455"/>
      <c r="E891" s="455"/>
      <c r="F891" s="455"/>
    </row>
    <row r="892" spans="1:9" ht="18.75" x14ac:dyDescent="0.25">
      <c r="A892" s="7"/>
      <c r="B892" s="8"/>
      <c r="C892" s="82"/>
      <c r="D892" s="125"/>
      <c r="E892" s="125"/>
      <c r="F892" s="126"/>
    </row>
    <row r="893" spans="1:9" ht="18.75" x14ac:dyDescent="0.25">
      <c r="A893" s="7"/>
      <c r="B893" s="8"/>
      <c r="C893" s="82"/>
      <c r="D893" s="125"/>
      <c r="E893" s="125"/>
      <c r="F893" s="126"/>
    </row>
    <row r="894" spans="1:9" ht="18.75" x14ac:dyDescent="0.25">
      <c r="A894" s="7"/>
      <c r="B894" s="8"/>
      <c r="C894" s="82"/>
      <c r="D894" s="125"/>
      <c r="E894" s="125"/>
      <c r="F894" s="126"/>
    </row>
    <row r="895" spans="1:9" ht="18.75" x14ac:dyDescent="0.25">
      <c r="A895" s="7"/>
      <c r="B895" s="8"/>
      <c r="C895" s="82"/>
      <c r="D895" s="125"/>
      <c r="E895" s="125"/>
      <c r="F895" s="126"/>
    </row>
    <row r="896" spans="1:9" ht="18.75" x14ac:dyDescent="0.25">
      <c r="A896" s="7"/>
      <c r="B896" s="8"/>
      <c r="C896" s="82"/>
      <c r="D896" s="125"/>
      <c r="E896" s="125"/>
      <c r="F896" s="126"/>
    </row>
    <row r="897" spans="1:6" s="1" customFormat="1" ht="18.75" x14ac:dyDescent="0.25">
      <c r="A897" s="7"/>
      <c r="B897" s="8"/>
      <c r="C897" s="82"/>
      <c r="D897" s="125"/>
      <c r="E897" s="125"/>
      <c r="F897" s="126"/>
    </row>
    <row r="898" spans="1:6" s="1" customFormat="1" ht="18.75" x14ac:dyDescent="0.25">
      <c r="A898" s="7"/>
      <c r="B898" s="8"/>
      <c r="C898" s="82"/>
      <c r="D898" s="125"/>
      <c r="E898" s="125"/>
      <c r="F898" s="126"/>
    </row>
    <row r="899" spans="1:6" s="1" customFormat="1" ht="18.75" x14ac:dyDescent="0.25">
      <c r="A899" s="7"/>
      <c r="B899" s="8"/>
      <c r="C899" s="82"/>
      <c r="D899" s="125"/>
      <c r="E899" s="125"/>
      <c r="F899" s="126"/>
    </row>
    <row r="900" spans="1:6" s="1" customFormat="1" ht="18.75" x14ac:dyDescent="0.25">
      <c r="A900" s="7"/>
      <c r="B900" s="8"/>
      <c r="C900" s="82"/>
      <c r="D900" s="125"/>
      <c r="E900" s="125"/>
      <c r="F900" s="126"/>
    </row>
    <row r="901" spans="1:6" s="1" customFormat="1" ht="18.75" x14ac:dyDescent="0.25">
      <c r="A901" s="7"/>
      <c r="B901" s="8"/>
      <c r="C901" s="82"/>
      <c r="D901" s="125"/>
      <c r="E901" s="125"/>
      <c r="F901" s="126"/>
    </row>
    <row r="902" spans="1:6" s="1" customFormat="1" ht="18.75" x14ac:dyDescent="0.25">
      <c r="A902" s="7"/>
      <c r="B902" s="8"/>
      <c r="C902" s="82"/>
      <c r="D902" s="125"/>
      <c r="E902" s="125"/>
      <c r="F902" s="126"/>
    </row>
    <row r="903" spans="1:6" s="1" customFormat="1" ht="18.75" x14ac:dyDescent="0.25">
      <c r="A903" s="7"/>
      <c r="B903" s="8"/>
      <c r="C903" s="82"/>
      <c r="D903" s="125"/>
      <c r="E903" s="125"/>
      <c r="F903" s="126"/>
    </row>
    <row r="904" spans="1:6" s="1" customFormat="1" ht="18.75" x14ac:dyDescent="0.25">
      <c r="A904" s="456"/>
      <c r="B904" s="456"/>
      <c r="C904" s="456"/>
      <c r="D904" s="456"/>
      <c r="E904" s="456"/>
      <c r="F904" s="456"/>
    </row>
    <row r="905" spans="1:6" s="1" customFormat="1" ht="18.75" x14ac:dyDescent="0.25">
      <c r="A905" s="7"/>
      <c r="B905" s="9"/>
      <c r="C905" s="10"/>
      <c r="D905" s="128"/>
      <c r="E905" s="128"/>
      <c r="F905" s="127"/>
    </row>
    <row r="906" spans="1:6" s="1" customFormat="1" ht="18.75" x14ac:dyDescent="0.25">
      <c r="A906" s="7"/>
      <c r="B906" s="9"/>
      <c r="C906" s="10"/>
      <c r="D906" s="128"/>
      <c r="E906" s="128"/>
      <c r="F906" s="127"/>
    </row>
    <row r="907" spans="1:6" s="1" customFormat="1" ht="18.75" x14ac:dyDescent="0.25">
      <c r="A907" s="7"/>
      <c r="B907" s="8"/>
      <c r="C907" s="82"/>
      <c r="D907" s="125"/>
      <c r="E907" s="125"/>
      <c r="F907" s="126"/>
    </row>
    <row r="908" spans="1:6" s="1" customFormat="1" x14ac:dyDescent="0.25">
      <c r="A908" s="79"/>
      <c r="B908" s="11"/>
      <c r="C908" s="79"/>
      <c r="D908" s="129"/>
      <c r="E908" s="129"/>
      <c r="F908" s="126"/>
    </row>
    <row r="909" spans="1:6" s="1" customFormat="1" x14ac:dyDescent="0.25">
      <c r="A909" s="79"/>
      <c r="B909" s="11"/>
      <c r="C909" s="79"/>
      <c r="D909" s="129"/>
      <c r="E909" s="129"/>
      <c r="F909" s="126"/>
    </row>
    <row r="910" spans="1:6" s="1" customFormat="1" x14ac:dyDescent="0.25">
      <c r="A910" s="79"/>
      <c r="B910" s="11"/>
      <c r="C910" s="79"/>
      <c r="D910" s="129"/>
      <c r="E910" s="129"/>
      <c r="F910" s="126"/>
    </row>
    <row r="911" spans="1:6" s="1" customFormat="1" x14ac:dyDescent="0.25">
      <c r="A911" s="79"/>
      <c r="B911" s="11"/>
      <c r="C911" s="79"/>
      <c r="D911" s="129"/>
      <c r="E911" s="129"/>
      <c r="F911" s="126"/>
    </row>
    <row r="912" spans="1:6" s="1" customFormat="1" x14ac:dyDescent="0.25">
      <c r="A912" s="79"/>
      <c r="B912" s="11"/>
      <c r="C912" s="79"/>
      <c r="D912" s="129"/>
      <c r="E912" s="129"/>
      <c r="F912" s="126"/>
    </row>
    <row r="913" spans="1:9" x14ac:dyDescent="0.25">
      <c r="A913" s="79"/>
      <c r="B913" s="11"/>
      <c r="C913" s="79"/>
      <c r="D913" s="129"/>
      <c r="E913" s="129"/>
      <c r="F913" s="126"/>
    </row>
    <row r="914" spans="1:9" x14ac:dyDescent="0.25">
      <c r="A914" s="79"/>
      <c r="B914" s="11"/>
      <c r="C914" s="79"/>
      <c r="D914" s="129"/>
      <c r="E914" s="129"/>
      <c r="F914" s="126"/>
    </row>
    <row r="915" spans="1:9" x14ac:dyDescent="0.25">
      <c r="A915" s="79"/>
      <c r="B915" s="11"/>
      <c r="C915" s="79"/>
      <c r="D915" s="129"/>
      <c r="E915" s="129"/>
      <c r="F915" s="126"/>
    </row>
    <row r="916" spans="1:9" x14ac:dyDescent="0.25">
      <c r="A916" s="79"/>
      <c r="B916" s="11"/>
      <c r="C916" s="79"/>
      <c r="D916" s="129"/>
      <c r="E916" s="129"/>
      <c r="F916" s="126"/>
    </row>
    <row r="917" spans="1:9" s="5" customFormat="1" x14ac:dyDescent="0.25">
      <c r="A917" s="79"/>
      <c r="B917" s="11"/>
      <c r="C917" s="79"/>
      <c r="D917" s="129"/>
      <c r="E917" s="129"/>
      <c r="F917" s="126"/>
      <c r="I917" s="58"/>
    </row>
    <row r="919" spans="1:9" s="5" customFormat="1" x14ac:dyDescent="0.25">
      <c r="A919" s="48"/>
      <c r="B919" s="1"/>
      <c r="C919" s="48"/>
      <c r="D919" s="78"/>
      <c r="E919" s="78"/>
      <c r="F919" s="74"/>
      <c r="I919" s="58"/>
    </row>
    <row r="920" spans="1:9" s="5" customFormat="1" x14ac:dyDescent="0.25">
      <c r="A920" s="48"/>
      <c r="B920" s="1"/>
      <c r="C920" s="48"/>
      <c r="D920" s="78"/>
      <c r="E920" s="78"/>
      <c r="F920" s="74"/>
      <c r="I920" s="58"/>
    </row>
  </sheetData>
  <mergeCells count="135">
    <mergeCell ref="A883:F883"/>
    <mergeCell ref="A891:F891"/>
    <mergeCell ref="A904:F904"/>
    <mergeCell ref="A853:F853"/>
    <mergeCell ref="A855:F855"/>
    <mergeCell ref="A857:F857"/>
    <mergeCell ref="A859:F859"/>
    <mergeCell ref="A873:F873"/>
    <mergeCell ref="A876:F876"/>
    <mergeCell ref="B844:F844"/>
    <mergeCell ref="B845:F845"/>
    <mergeCell ref="A847:F847"/>
    <mergeCell ref="A849:F849"/>
    <mergeCell ref="A851:F851"/>
    <mergeCell ref="A852:F852"/>
    <mergeCell ref="A830:F830"/>
    <mergeCell ref="A831:F831"/>
    <mergeCell ref="A834:F834"/>
    <mergeCell ref="A838:F838"/>
    <mergeCell ref="B842:F842"/>
    <mergeCell ref="B843:F843"/>
    <mergeCell ref="A742:F742"/>
    <mergeCell ref="A788:F788"/>
    <mergeCell ref="A790:F790"/>
    <mergeCell ref="A806:F806"/>
    <mergeCell ref="A818:F818"/>
    <mergeCell ref="A822:F822"/>
    <mergeCell ref="A648:F648"/>
    <mergeCell ref="A675:F675"/>
    <mergeCell ref="A703:F703"/>
    <mergeCell ref="A716:F716"/>
    <mergeCell ref="A722:F722"/>
    <mergeCell ref="A734:F734"/>
    <mergeCell ref="A606:F606"/>
    <mergeCell ref="A608:F608"/>
    <mergeCell ref="A637:F637"/>
    <mergeCell ref="A640:F640"/>
    <mergeCell ref="A643:F643"/>
    <mergeCell ref="A645:F645"/>
    <mergeCell ref="A535:A541"/>
    <mergeCell ref="A551:F551"/>
    <mergeCell ref="A557:A563"/>
    <mergeCell ref="A567:A568"/>
    <mergeCell ref="A573:A577"/>
    <mergeCell ref="A605:F605"/>
    <mergeCell ref="A497:A501"/>
    <mergeCell ref="A503:A506"/>
    <mergeCell ref="A509:A510"/>
    <mergeCell ref="A518:F518"/>
    <mergeCell ref="A520:A523"/>
    <mergeCell ref="A526:A533"/>
    <mergeCell ref="A458:A459"/>
    <mergeCell ref="A461:A462"/>
    <mergeCell ref="A468:A469"/>
    <mergeCell ref="A473:A477"/>
    <mergeCell ref="A490:A491"/>
    <mergeCell ref="A493:A495"/>
    <mergeCell ref="A412:A413"/>
    <mergeCell ref="A417:A418"/>
    <mergeCell ref="A420:A421"/>
    <mergeCell ref="A422:F422"/>
    <mergeCell ref="A429:A435"/>
    <mergeCell ref="A454:A455"/>
    <mergeCell ref="A371:A376"/>
    <mergeCell ref="A379:A384"/>
    <mergeCell ref="A386:A387"/>
    <mergeCell ref="A389:A393"/>
    <mergeCell ref="A395:A397"/>
    <mergeCell ref="A399:A400"/>
    <mergeCell ref="A342:A343"/>
    <mergeCell ref="A345:A346"/>
    <mergeCell ref="A348:A349"/>
    <mergeCell ref="A352:F352"/>
    <mergeCell ref="A357:A359"/>
    <mergeCell ref="A365:A369"/>
    <mergeCell ref="A320:A321"/>
    <mergeCell ref="A323:A324"/>
    <mergeCell ref="A326:A327"/>
    <mergeCell ref="A329:A330"/>
    <mergeCell ref="A332:A333"/>
    <mergeCell ref="A336:A340"/>
    <mergeCell ref="A283:A285"/>
    <mergeCell ref="A288:A291"/>
    <mergeCell ref="A293:A297"/>
    <mergeCell ref="A299:A305"/>
    <mergeCell ref="A307:A311"/>
    <mergeCell ref="A314:A318"/>
    <mergeCell ref="A258:A259"/>
    <mergeCell ref="A261:A262"/>
    <mergeCell ref="A264:A265"/>
    <mergeCell ref="A267:A268"/>
    <mergeCell ref="A274:A276"/>
    <mergeCell ref="A279:A281"/>
    <mergeCell ref="A226:A229"/>
    <mergeCell ref="A231:A234"/>
    <mergeCell ref="A241:A242"/>
    <mergeCell ref="A244:A245"/>
    <mergeCell ref="A247:A248"/>
    <mergeCell ref="A254:A255"/>
    <mergeCell ref="A193:A196"/>
    <mergeCell ref="A199:A200"/>
    <mergeCell ref="A208:A209"/>
    <mergeCell ref="A210:F210"/>
    <mergeCell ref="A212:A215"/>
    <mergeCell ref="A217:A218"/>
    <mergeCell ref="A168:A170"/>
    <mergeCell ref="A172:A175"/>
    <mergeCell ref="A177:A178"/>
    <mergeCell ref="A182:A185"/>
    <mergeCell ref="A186:F186"/>
    <mergeCell ref="A188:A191"/>
    <mergeCell ref="A113:A124"/>
    <mergeCell ref="A130:A133"/>
    <mergeCell ref="A141:A146"/>
    <mergeCell ref="A148:A149"/>
    <mergeCell ref="A157:A158"/>
    <mergeCell ref="A160:A161"/>
    <mergeCell ref="A86:A87"/>
    <mergeCell ref="A92:A94"/>
    <mergeCell ref="A101:A111"/>
    <mergeCell ref="A11:F11"/>
    <mergeCell ref="A12:F12"/>
    <mergeCell ref="A26:A29"/>
    <mergeCell ref="A31:A37"/>
    <mergeCell ref="A39:A45"/>
    <mergeCell ref="A47:A53"/>
    <mergeCell ref="B3:F3"/>
    <mergeCell ref="A4:F4"/>
    <mergeCell ref="A5:F5"/>
    <mergeCell ref="A6:F6"/>
    <mergeCell ref="A9:F9"/>
    <mergeCell ref="A10:F10"/>
    <mergeCell ref="A55:A60"/>
    <mergeCell ref="A62:A65"/>
    <mergeCell ref="A67:A71"/>
  </mergeCells>
  <pageMargins left="0.59055118110236227" right="0.19685039370078741" top="0.39370078740157483" bottom="0.19685039370078741" header="0" footer="0"/>
  <pageSetup paperSize="9" scale="74"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pageSetUpPr fitToPage="1"/>
  </sheetPr>
  <dimension ref="A1:M288"/>
  <sheetViews>
    <sheetView zoomScale="120" zoomScaleNormal="120" workbookViewId="0">
      <selection activeCell="B203" sqref="B203"/>
    </sheetView>
  </sheetViews>
  <sheetFormatPr defaultColWidth="8.5703125" defaultRowHeight="15.75" outlineLevelRow="1" x14ac:dyDescent="0.25"/>
  <cols>
    <col min="1" max="1" width="6.5703125" style="48" customWidth="1"/>
    <col min="2" max="2" width="79.5703125" style="1" customWidth="1"/>
    <col min="3" max="3" width="15.42578125" style="48" bestFit="1" customWidth="1"/>
    <col min="4" max="6" width="15.42578125" style="48" customWidth="1"/>
    <col min="7" max="7" width="12.140625" style="74" customWidth="1"/>
    <col min="8" max="9" width="12.140625" style="74" hidden="1" customWidth="1"/>
    <col min="10" max="11" width="8.5703125" style="1" customWidth="1"/>
    <col min="12" max="12" width="8.5703125" style="171" customWidth="1"/>
    <col min="13" max="16384" width="8.5703125" style="1"/>
  </cols>
  <sheetData>
    <row r="1" spans="1:12" ht="18" x14ac:dyDescent="0.25">
      <c r="B1" s="47"/>
      <c r="C1" s="80"/>
      <c r="D1" s="80"/>
      <c r="E1" s="80"/>
      <c r="F1" s="71" t="s">
        <v>364</v>
      </c>
      <c r="H1" s="71"/>
      <c r="I1" s="71"/>
    </row>
    <row r="2" spans="1:12" ht="18" x14ac:dyDescent="0.25">
      <c r="A2" s="1"/>
      <c r="B2" s="44"/>
      <c r="C2" s="2"/>
      <c r="D2" s="2"/>
      <c r="E2" s="2"/>
      <c r="F2" s="116" t="str">
        <f>'Лаборатория - ПТЗ, Шуйское, 26'!F2</f>
        <v>№  1027-П от 29 декабря 2021 года</v>
      </c>
      <c r="H2" s="116"/>
      <c r="I2" s="116"/>
    </row>
    <row r="3" spans="1:12" ht="15" x14ac:dyDescent="0.25">
      <c r="B3" s="387"/>
      <c r="C3" s="388"/>
      <c r="D3" s="388"/>
      <c r="E3" s="388"/>
      <c r="F3" s="388"/>
      <c r="G3" s="388"/>
      <c r="H3" s="288"/>
      <c r="I3" s="288"/>
    </row>
    <row r="4" spans="1:12" ht="23.25" x14ac:dyDescent="0.25">
      <c r="A4" s="389" t="s">
        <v>1220</v>
      </c>
      <c r="B4" s="389"/>
      <c r="C4" s="389"/>
      <c r="D4" s="389"/>
      <c r="E4" s="389"/>
      <c r="F4" s="389"/>
      <c r="G4" s="389"/>
      <c r="H4" s="289"/>
      <c r="I4" s="289"/>
    </row>
    <row r="5" spans="1:12" ht="21" x14ac:dyDescent="0.25">
      <c r="A5" s="390" t="s">
        <v>1221</v>
      </c>
      <c r="B5" s="390"/>
      <c r="C5" s="390"/>
      <c r="D5" s="390"/>
      <c r="E5" s="390"/>
      <c r="F5" s="390"/>
      <c r="G5" s="390"/>
      <c r="H5" s="208" t="s">
        <v>1579</v>
      </c>
      <c r="I5" s="290"/>
    </row>
    <row r="6" spans="1:12" s="3" customFormat="1" ht="21" x14ac:dyDescent="0.35">
      <c r="A6" s="390" t="s">
        <v>1222</v>
      </c>
      <c r="B6" s="390"/>
      <c r="C6" s="390"/>
      <c r="D6" s="390"/>
      <c r="E6" s="390"/>
      <c r="F6" s="390"/>
      <c r="G6" s="390"/>
      <c r="H6" s="210">
        <v>1.0840000000000001</v>
      </c>
      <c r="I6" s="290"/>
      <c r="L6" s="172"/>
    </row>
    <row r="7" spans="1:12" s="114" customFormat="1" ht="33" customHeight="1" x14ac:dyDescent="0.35">
      <c r="A7" s="431" t="str">
        <f>'Лаборатория - ПТЗ, Шуйское, 26'!A7</f>
        <v>изменения от 02.02.2022г № 32-П, от 25.02.22г № 55-П, от 04.03.22г  № 70-П, от 15.03.22г № 85-П, от 25.03.22г № 109-П, от 06.04.22г № 130-П, от 13.04.22г № 139-П, от 15.04.22г № 148-П, от 25.04.22г № 172-П, от 13.05.22г № 211-П, от 30.05.22г № 249-П, от 17.06.22г №289-П</v>
      </c>
      <c r="B7" s="431"/>
      <c r="C7" s="431"/>
      <c r="D7" s="431"/>
      <c r="E7" s="431"/>
      <c r="F7" s="431"/>
      <c r="G7" s="431"/>
      <c r="H7" s="314"/>
      <c r="I7" s="314"/>
      <c r="L7" s="173"/>
    </row>
    <row r="8" spans="1:12" s="206" customFormat="1" ht="56.25" x14ac:dyDescent="0.2">
      <c r="A8" s="16" t="s">
        <v>0</v>
      </c>
      <c r="B8" s="16" t="s">
        <v>1</v>
      </c>
      <c r="C8" s="119" t="s">
        <v>2</v>
      </c>
      <c r="D8" s="17" t="s">
        <v>3</v>
      </c>
      <c r="E8" s="16" t="s">
        <v>1393</v>
      </c>
      <c r="F8" s="17" t="s">
        <v>1394</v>
      </c>
      <c r="G8" s="17" t="s">
        <v>1394</v>
      </c>
      <c r="H8" s="301"/>
      <c r="I8" s="301"/>
    </row>
    <row r="9" spans="1:12" customFormat="1" ht="18.75" x14ac:dyDescent="0.2">
      <c r="A9" s="453" t="s">
        <v>1900</v>
      </c>
      <c r="B9" s="453"/>
      <c r="C9" s="453"/>
      <c r="D9" s="453"/>
      <c r="E9" s="453"/>
      <c r="F9" s="453"/>
      <c r="G9" s="453"/>
      <c r="H9" s="307"/>
      <c r="I9" s="307"/>
      <c r="L9" s="195"/>
    </row>
    <row r="10" spans="1:12" customFormat="1" ht="15" customHeight="1" x14ac:dyDescent="0.2">
      <c r="A10" s="450" t="s">
        <v>2017</v>
      </c>
      <c r="B10" s="408"/>
      <c r="C10" s="408"/>
      <c r="D10" s="408"/>
      <c r="E10" s="408"/>
      <c r="F10" s="408"/>
      <c r="G10" s="451"/>
      <c r="H10" s="309"/>
      <c r="I10" s="309"/>
      <c r="L10" s="195"/>
    </row>
    <row r="11" spans="1:12" customFormat="1" outlineLevel="1" x14ac:dyDescent="0.2">
      <c r="A11" s="207" t="s">
        <v>5</v>
      </c>
      <c r="B11" s="70" t="s">
        <v>1004</v>
      </c>
      <c r="C11" s="91" t="s">
        <v>549</v>
      </c>
      <c r="D11" s="118">
        <f>F11-E11</f>
        <v>313.33333333333331</v>
      </c>
      <c r="E11" s="118">
        <f>F11/1.2*0.2</f>
        <v>62.666666666666679</v>
      </c>
      <c r="F11" s="118">
        <f>I11</f>
        <v>376</v>
      </c>
      <c r="G11" s="123">
        <v>347</v>
      </c>
      <c r="H11" s="274">
        <f>G11*$H$6</f>
        <v>376.14800000000002</v>
      </c>
      <c r="I11" s="304">
        <f>ROUND(H11,0)</f>
        <v>376</v>
      </c>
      <c r="L11" s="195"/>
    </row>
    <row r="12" spans="1:12" customFormat="1" ht="18.75" x14ac:dyDescent="0.2">
      <c r="A12" s="407" t="s">
        <v>2018</v>
      </c>
      <c r="B12" s="452"/>
      <c r="C12" s="452"/>
      <c r="D12" s="452"/>
      <c r="E12" s="452"/>
      <c r="F12" s="452"/>
      <c r="G12" s="409"/>
      <c r="H12" s="309"/>
      <c r="I12" s="309"/>
      <c r="L12" s="195"/>
    </row>
    <row r="13" spans="1:12" customFormat="1" outlineLevel="1" x14ac:dyDescent="0.2">
      <c r="A13" s="109" t="s">
        <v>30</v>
      </c>
      <c r="B13" s="70" t="s">
        <v>1196</v>
      </c>
      <c r="C13" s="96" t="s">
        <v>549</v>
      </c>
      <c r="D13" s="118">
        <f>F13-E13</f>
        <v>297.5</v>
      </c>
      <c r="E13" s="118">
        <f>F13/1.2*0.2</f>
        <v>59.5</v>
      </c>
      <c r="F13" s="118">
        <f>I13</f>
        <v>357</v>
      </c>
      <c r="G13" s="123">
        <v>329</v>
      </c>
      <c r="H13" s="274">
        <f>G13*$H$6</f>
        <v>356.63600000000002</v>
      </c>
      <c r="I13" s="304">
        <f>ROUND(H13,0)</f>
        <v>357</v>
      </c>
      <c r="L13" s="195"/>
    </row>
    <row r="14" spans="1:12" customFormat="1" outlineLevel="1" x14ac:dyDescent="0.2">
      <c r="A14" s="109" t="s">
        <v>31</v>
      </c>
      <c r="B14" s="70" t="s">
        <v>1197</v>
      </c>
      <c r="C14" s="94" t="s">
        <v>549</v>
      </c>
      <c r="D14" s="118">
        <f t="shared" ref="D14:D15" si="0">F14-E14</f>
        <v>271.66666666666663</v>
      </c>
      <c r="E14" s="118">
        <f t="shared" ref="E14:E15" si="1">F14/1.2*0.2</f>
        <v>54.333333333333343</v>
      </c>
      <c r="F14" s="118">
        <f t="shared" ref="F14:F15" si="2">I14</f>
        <v>326</v>
      </c>
      <c r="G14" s="123">
        <v>301</v>
      </c>
      <c r="H14" s="274">
        <f t="shared" ref="H14:H15" si="3">G14*$H$6</f>
        <v>326.28400000000005</v>
      </c>
      <c r="I14" s="304">
        <f t="shared" ref="I14:I15" si="4">ROUND(H14,0)</f>
        <v>326</v>
      </c>
      <c r="L14" s="195"/>
    </row>
    <row r="15" spans="1:12" customFormat="1" outlineLevel="1" x14ac:dyDescent="0.2">
      <c r="A15" s="109" t="s">
        <v>32</v>
      </c>
      <c r="B15" s="70" t="s">
        <v>1198</v>
      </c>
      <c r="C15" s="94" t="s">
        <v>549</v>
      </c>
      <c r="D15" s="118">
        <f t="shared" si="0"/>
        <v>214.16666666666666</v>
      </c>
      <c r="E15" s="118">
        <f t="shared" si="1"/>
        <v>42.833333333333343</v>
      </c>
      <c r="F15" s="118">
        <f t="shared" si="2"/>
        <v>257</v>
      </c>
      <c r="G15" s="123">
        <v>237</v>
      </c>
      <c r="H15" s="274">
        <f t="shared" si="3"/>
        <v>256.90800000000002</v>
      </c>
      <c r="I15" s="304">
        <f t="shared" si="4"/>
        <v>257</v>
      </c>
      <c r="L15" s="195"/>
    </row>
    <row r="16" spans="1:12" s="83" customFormat="1" ht="18.75" x14ac:dyDescent="0.2">
      <c r="A16" s="407" t="s">
        <v>2019</v>
      </c>
      <c r="B16" s="452"/>
      <c r="C16" s="452"/>
      <c r="D16" s="452"/>
      <c r="E16" s="452"/>
      <c r="F16" s="452"/>
      <c r="G16" s="409"/>
      <c r="H16" s="309"/>
      <c r="I16" s="309"/>
      <c r="L16" s="197"/>
    </row>
    <row r="17" spans="1:12" customFormat="1" outlineLevel="1" x14ac:dyDescent="0.2">
      <c r="A17" s="207" t="s">
        <v>235</v>
      </c>
      <c r="B17" s="70" t="s">
        <v>1005</v>
      </c>
      <c r="C17" s="91" t="s">
        <v>549</v>
      </c>
      <c r="D17" s="118">
        <f>F17-E17</f>
        <v>115.83333333333333</v>
      </c>
      <c r="E17" s="118">
        <f>F17/1.2*0.2</f>
        <v>23.166666666666671</v>
      </c>
      <c r="F17" s="118">
        <f>I17</f>
        <v>139</v>
      </c>
      <c r="G17" s="123">
        <v>128</v>
      </c>
      <c r="H17" s="274">
        <f>G17*$H$6</f>
        <v>138.75200000000001</v>
      </c>
      <c r="I17" s="304">
        <f>ROUND(H17,0)</f>
        <v>139</v>
      </c>
      <c r="L17" s="195"/>
    </row>
    <row r="18" spans="1:12" customFormat="1" outlineLevel="1" x14ac:dyDescent="0.2">
      <c r="A18" s="207" t="s">
        <v>39</v>
      </c>
      <c r="B18" s="70" t="s">
        <v>1006</v>
      </c>
      <c r="C18" s="91" t="s">
        <v>549</v>
      </c>
      <c r="D18" s="118">
        <f t="shared" ref="D18:D44" si="5">F18-E18</f>
        <v>115.83333333333333</v>
      </c>
      <c r="E18" s="118">
        <f t="shared" ref="E18:E44" si="6">F18/1.2*0.2</f>
        <v>23.166666666666671</v>
      </c>
      <c r="F18" s="118">
        <f t="shared" ref="F18:F44" si="7">I18</f>
        <v>139</v>
      </c>
      <c r="G18" s="123">
        <v>128</v>
      </c>
      <c r="H18" s="274">
        <f t="shared" ref="H18:H44" si="8">G18*$H$6</f>
        <v>138.75200000000001</v>
      </c>
      <c r="I18" s="304">
        <f t="shared" ref="I18:I44" si="9">ROUND(H18,0)</f>
        <v>139</v>
      </c>
      <c r="L18" s="195"/>
    </row>
    <row r="19" spans="1:12" customFormat="1" outlineLevel="1" x14ac:dyDescent="0.2">
      <c r="A19" s="209" t="s">
        <v>41</v>
      </c>
      <c r="B19" s="70" t="s">
        <v>1007</v>
      </c>
      <c r="C19" s="91" t="s">
        <v>549</v>
      </c>
      <c r="D19" s="118">
        <f t="shared" si="5"/>
        <v>115.83333333333333</v>
      </c>
      <c r="E19" s="118">
        <f t="shared" si="6"/>
        <v>23.166666666666671</v>
      </c>
      <c r="F19" s="118">
        <f t="shared" si="7"/>
        <v>139</v>
      </c>
      <c r="G19" s="123">
        <v>128</v>
      </c>
      <c r="H19" s="274">
        <f t="shared" si="8"/>
        <v>138.75200000000001</v>
      </c>
      <c r="I19" s="304">
        <f t="shared" si="9"/>
        <v>139</v>
      </c>
      <c r="L19" s="195"/>
    </row>
    <row r="20" spans="1:12" s="83" customFormat="1" outlineLevel="1" x14ac:dyDescent="0.2">
      <c r="A20" s="209" t="s">
        <v>236</v>
      </c>
      <c r="B20" s="70" t="s">
        <v>1008</v>
      </c>
      <c r="C20" s="92" t="s">
        <v>549</v>
      </c>
      <c r="D20" s="118">
        <f t="shared" si="5"/>
        <v>115.83333333333333</v>
      </c>
      <c r="E20" s="118">
        <f t="shared" si="6"/>
        <v>23.166666666666671</v>
      </c>
      <c r="F20" s="118">
        <f t="shared" si="7"/>
        <v>139</v>
      </c>
      <c r="G20" s="123">
        <v>128</v>
      </c>
      <c r="H20" s="274">
        <f t="shared" si="8"/>
        <v>138.75200000000001</v>
      </c>
      <c r="I20" s="304">
        <f t="shared" si="9"/>
        <v>139</v>
      </c>
      <c r="L20" s="197"/>
    </row>
    <row r="21" spans="1:12" customFormat="1" outlineLevel="1" x14ac:dyDescent="0.2">
      <c r="A21" s="209" t="s">
        <v>44</v>
      </c>
      <c r="B21" s="70" t="s">
        <v>1009</v>
      </c>
      <c r="C21" s="92" t="s">
        <v>549</v>
      </c>
      <c r="D21" s="118">
        <f t="shared" si="5"/>
        <v>115.83333333333333</v>
      </c>
      <c r="E21" s="118">
        <f t="shared" si="6"/>
        <v>23.166666666666671</v>
      </c>
      <c r="F21" s="118">
        <f t="shared" si="7"/>
        <v>139</v>
      </c>
      <c r="G21" s="123">
        <v>128</v>
      </c>
      <c r="H21" s="274">
        <f t="shared" si="8"/>
        <v>138.75200000000001</v>
      </c>
      <c r="I21" s="304">
        <f t="shared" si="9"/>
        <v>139</v>
      </c>
      <c r="L21" s="195"/>
    </row>
    <row r="22" spans="1:12" customFormat="1" outlineLevel="1" x14ac:dyDescent="0.2">
      <c r="A22" s="209" t="s">
        <v>46</v>
      </c>
      <c r="B22" s="70" t="s">
        <v>1010</v>
      </c>
      <c r="C22" s="92" t="s">
        <v>549</v>
      </c>
      <c r="D22" s="118">
        <f t="shared" si="5"/>
        <v>115.83333333333333</v>
      </c>
      <c r="E22" s="118">
        <f t="shared" si="6"/>
        <v>23.166666666666671</v>
      </c>
      <c r="F22" s="118">
        <f t="shared" si="7"/>
        <v>139</v>
      </c>
      <c r="G22" s="123">
        <v>128</v>
      </c>
      <c r="H22" s="274">
        <f t="shared" si="8"/>
        <v>138.75200000000001</v>
      </c>
      <c r="I22" s="304">
        <f t="shared" si="9"/>
        <v>139</v>
      </c>
      <c r="L22" s="195"/>
    </row>
    <row r="23" spans="1:12" customFormat="1" outlineLevel="1" x14ac:dyDescent="0.2">
      <c r="A23" s="209" t="s">
        <v>264</v>
      </c>
      <c r="B23" s="70" t="s">
        <v>1011</v>
      </c>
      <c r="C23" s="92" t="s">
        <v>549</v>
      </c>
      <c r="D23" s="118">
        <f t="shared" si="5"/>
        <v>115.83333333333333</v>
      </c>
      <c r="E23" s="118">
        <f t="shared" si="6"/>
        <v>23.166666666666671</v>
      </c>
      <c r="F23" s="118">
        <f t="shared" si="7"/>
        <v>139</v>
      </c>
      <c r="G23" s="123">
        <v>128</v>
      </c>
      <c r="H23" s="274">
        <f t="shared" si="8"/>
        <v>138.75200000000001</v>
      </c>
      <c r="I23" s="304">
        <f t="shared" si="9"/>
        <v>139</v>
      </c>
      <c r="L23" s="195"/>
    </row>
    <row r="24" spans="1:12" customFormat="1" outlineLevel="1" x14ac:dyDescent="0.2">
      <c r="A24" s="209" t="s">
        <v>309</v>
      </c>
      <c r="B24" s="70" t="s">
        <v>147</v>
      </c>
      <c r="C24" s="92" t="s">
        <v>549</v>
      </c>
      <c r="D24" s="118">
        <f t="shared" si="5"/>
        <v>115.83333333333333</v>
      </c>
      <c r="E24" s="118">
        <f t="shared" si="6"/>
        <v>23.166666666666671</v>
      </c>
      <c r="F24" s="118">
        <f t="shared" si="7"/>
        <v>139</v>
      </c>
      <c r="G24" s="123">
        <v>128</v>
      </c>
      <c r="H24" s="274">
        <f t="shared" si="8"/>
        <v>138.75200000000001</v>
      </c>
      <c r="I24" s="304">
        <f t="shared" si="9"/>
        <v>139</v>
      </c>
      <c r="L24" s="195"/>
    </row>
    <row r="25" spans="1:12" s="83" customFormat="1" outlineLevel="1" x14ac:dyDescent="0.2">
      <c r="A25" s="209" t="s">
        <v>310</v>
      </c>
      <c r="B25" s="70" t="s">
        <v>1012</v>
      </c>
      <c r="C25" s="92" t="s">
        <v>549</v>
      </c>
      <c r="D25" s="118">
        <f t="shared" si="5"/>
        <v>115.83333333333333</v>
      </c>
      <c r="E25" s="118">
        <f t="shared" si="6"/>
        <v>23.166666666666671</v>
      </c>
      <c r="F25" s="118">
        <f t="shared" si="7"/>
        <v>139</v>
      </c>
      <c r="G25" s="123">
        <v>128</v>
      </c>
      <c r="H25" s="274">
        <f t="shared" si="8"/>
        <v>138.75200000000001</v>
      </c>
      <c r="I25" s="304">
        <f t="shared" si="9"/>
        <v>139</v>
      </c>
      <c r="L25" s="197"/>
    </row>
    <row r="26" spans="1:12" s="83" customFormat="1" outlineLevel="1" x14ac:dyDescent="0.2">
      <c r="A26" s="209" t="s">
        <v>311</v>
      </c>
      <c r="B26" s="70" t="s">
        <v>1737</v>
      </c>
      <c r="C26" s="92" t="s">
        <v>549</v>
      </c>
      <c r="D26" s="118">
        <f t="shared" si="5"/>
        <v>115.83333333333333</v>
      </c>
      <c r="E26" s="118">
        <f t="shared" si="6"/>
        <v>23.166666666666671</v>
      </c>
      <c r="F26" s="118">
        <f t="shared" si="7"/>
        <v>139</v>
      </c>
      <c r="G26" s="123">
        <v>128</v>
      </c>
      <c r="H26" s="274">
        <f t="shared" si="8"/>
        <v>138.75200000000001</v>
      </c>
      <c r="I26" s="304">
        <f t="shared" si="9"/>
        <v>139</v>
      </c>
      <c r="L26" s="197"/>
    </row>
    <row r="27" spans="1:12" customFormat="1" outlineLevel="1" x14ac:dyDescent="0.2">
      <c r="A27" s="209" t="s">
        <v>312</v>
      </c>
      <c r="B27" s="70" t="s">
        <v>1014</v>
      </c>
      <c r="C27" s="92" t="s">
        <v>549</v>
      </c>
      <c r="D27" s="118">
        <f t="shared" si="5"/>
        <v>115.83333333333333</v>
      </c>
      <c r="E27" s="118">
        <f t="shared" si="6"/>
        <v>23.166666666666671</v>
      </c>
      <c r="F27" s="118">
        <f t="shared" si="7"/>
        <v>139</v>
      </c>
      <c r="G27" s="123">
        <v>128</v>
      </c>
      <c r="H27" s="274">
        <f t="shared" si="8"/>
        <v>138.75200000000001</v>
      </c>
      <c r="I27" s="304">
        <f t="shared" si="9"/>
        <v>139</v>
      </c>
      <c r="L27" s="195"/>
    </row>
    <row r="28" spans="1:12" s="83" customFormat="1" outlineLevel="1" x14ac:dyDescent="0.2">
      <c r="A28" s="209" t="s">
        <v>313</v>
      </c>
      <c r="B28" s="70" t="s">
        <v>1015</v>
      </c>
      <c r="C28" s="92" t="s">
        <v>549</v>
      </c>
      <c r="D28" s="118">
        <f t="shared" si="5"/>
        <v>115.83333333333333</v>
      </c>
      <c r="E28" s="118">
        <f t="shared" si="6"/>
        <v>23.166666666666671</v>
      </c>
      <c r="F28" s="118">
        <f t="shared" si="7"/>
        <v>139</v>
      </c>
      <c r="G28" s="123">
        <v>128</v>
      </c>
      <c r="H28" s="274">
        <f t="shared" si="8"/>
        <v>138.75200000000001</v>
      </c>
      <c r="I28" s="304">
        <f t="shared" si="9"/>
        <v>139</v>
      </c>
      <c r="L28" s="197"/>
    </row>
    <row r="29" spans="1:12" customFormat="1" outlineLevel="1" x14ac:dyDescent="0.2">
      <c r="A29" s="209" t="s">
        <v>314</v>
      </c>
      <c r="B29" s="70" t="s">
        <v>1016</v>
      </c>
      <c r="C29" s="92" t="s">
        <v>549</v>
      </c>
      <c r="D29" s="118">
        <f t="shared" si="5"/>
        <v>115.83333333333333</v>
      </c>
      <c r="E29" s="118">
        <f t="shared" si="6"/>
        <v>23.166666666666671</v>
      </c>
      <c r="F29" s="118">
        <f t="shared" si="7"/>
        <v>139</v>
      </c>
      <c r="G29" s="123">
        <v>128</v>
      </c>
      <c r="H29" s="274">
        <f t="shared" si="8"/>
        <v>138.75200000000001</v>
      </c>
      <c r="I29" s="304">
        <f t="shared" si="9"/>
        <v>139</v>
      </c>
      <c r="L29" s="195"/>
    </row>
    <row r="30" spans="1:12" s="83" customFormat="1" outlineLevel="1" x14ac:dyDescent="0.2">
      <c r="A30" s="209" t="s">
        <v>315</v>
      </c>
      <c r="B30" s="70" t="s">
        <v>1530</v>
      </c>
      <c r="C30" s="92" t="s">
        <v>549</v>
      </c>
      <c r="D30" s="118">
        <f t="shared" si="5"/>
        <v>115.83333333333333</v>
      </c>
      <c r="E30" s="118">
        <f t="shared" si="6"/>
        <v>23.166666666666671</v>
      </c>
      <c r="F30" s="118">
        <f t="shared" si="7"/>
        <v>139</v>
      </c>
      <c r="G30" s="123">
        <v>128</v>
      </c>
      <c r="H30" s="274">
        <f t="shared" si="8"/>
        <v>138.75200000000001</v>
      </c>
      <c r="I30" s="304">
        <f t="shared" si="9"/>
        <v>139</v>
      </c>
      <c r="L30" s="197"/>
    </row>
    <row r="31" spans="1:12" s="83" customFormat="1" outlineLevel="1" x14ac:dyDescent="0.2">
      <c r="A31" s="209" t="s">
        <v>316</v>
      </c>
      <c r="B31" s="70" t="s">
        <v>1018</v>
      </c>
      <c r="C31" s="92" t="s">
        <v>549</v>
      </c>
      <c r="D31" s="118">
        <f t="shared" si="5"/>
        <v>285.83333333333331</v>
      </c>
      <c r="E31" s="118">
        <f t="shared" si="6"/>
        <v>57.166666666666679</v>
      </c>
      <c r="F31" s="118">
        <f t="shared" si="7"/>
        <v>343</v>
      </c>
      <c r="G31" s="123">
        <v>316</v>
      </c>
      <c r="H31" s="274">
        <f t="shared" si="8"/>
        <v>342.54400000000004</v>
      </c>
      <c r="I31" s="304">
        <f t="shared" si="9"/>
        <v>343</v>
      </c>
      <c r="L31" s="197"/>
    </row>
    <row r="32" spans="1:12" s="83" customFormat="1" outlineLevel="1" x14ac:dyDescent="0.2">
      <c r="A32" s="209" t="s">
        <v>1600</v>
      </c>
      <c r="B32" s="70" t="s">
        <v>1019</v>
      </c>
      <c r="C32" s="92" t="s">
        <v>549</v>
      </c>
      <c r="D32" s="118">
        <f t="shared" si="5"/>
        <v>115.83333333333333</v>
      </c>
      <c r="E32" s="118">
        <f t="shared" si="6"/>
        <v>23.166666666666671</v>
      </c>
      <c r="F32" s="118">
        <f t="shared" si="7"/>
        <v>139</v>
      </c>
      <c r="G32" s="123">
        <v>128</v>
      </c>
      <c r="H32" s="274">
        <f t="shared" si="8"/>
        <v>138.75200000000001</v>
      </c>
      <c r="I32" s="304">
        <f t="shared" si="9"/>
        <v>139</v>
      </c>
      <c r="L32" s="197"/>
    </row>
    <row r="33" spans="1:12" customFormat="1" outlineLevel="1" x14ac:dyDescent="0.2">
      <c r="A33" s="209" t="s">
        <v>1609</v>
      </c>
      <c r="B33" s="70" t="s">
        <v>1020</v>
      </c>
      <c r="C33" s="92" t="s">
        <v>549</v>
      </c>
      <c r="D33" s="118">
        <f t="shared" si="5"/>
        <v>115.83333333333333</v>
      </c>
      <c r="E33" s="118">
        <f t="shared" si="6"/>
        <v>23.166666666666671</v>
      </c>
      <c r="F33" s="118">
        <f t="shared" si="7"/>
        <v>139</v>
      </c>
      <c r="G33" s="123">
        <v>128</v>
      </c>
      <c r="H33" s="274">
        <f t="shared" si="8"/>
        <v>138.75200000000001</v>
      </c>
      <c r="I33" s="304">
        <f t="shared" si="9"/>
        <v>139</v>
      </c>
      <c r="L33" s="195"/>
    </row>
    <row r="34" spans="1:12" customFormat="1" outlineLevel="1" x14ac:dyDescent="0.2">
      <c r="A34" s="209" t="s">
        <v>2033</v>
      </c>
      <c r="B34" s="70" t="s">
        <v>1021</v>
      </c>
      <c r="C34" s="92" t="s">
        <v>549</v>
      </c>
      <c r="D34" s="118">
        <f t="shared" si="5"/>
        <v>115.83333333333333</v>
      </c>
      <c r="E34" s="118">
        <f t="shared" si="6"/>
        <v>23.166666666666671</v>
      </c>
      <c r="F34" s="118">
        <f t="shared" si="7"/>
        <v>139</v>
      </c>
      <c r="G34" s="123">
        <v>128</v>
      </c>
      <c r="H34" s="274">
        <f t="shared" si="8"/>
        <v>138.75200000000001</v>
      </c>
      <c r="I34" s="304">
        <f t="shared" si="9"/>
        <v>139</v>
      </c>
      <c r="L34" s="195"/>
    </row>
    <row r="35" spans="1:12" s="83" customFormat="1" outlineLevel="1" x14ac:dyDescent="0.2">
      <c r="A35" s="209" t="s">
        <v>2034</v>
      </c>
      <c r="B35" s="70" t="s">
        <v>1022</v>
      </c>
      <c r="C35" s="92" t="s">
        <v>549</v>
      </c>
      <c r="D35" s="118">
        <f t="shared" si="5"/>
        <v>313.33333333333331</v>
      </c>
      <c r="E35" s="118">
        <f t="shared" si="6"/>
        <v>62.666666666666679</v>
      </c>
      <c r="F35" s="118">
        <f t="shared" si="7"/>
        <v>376</v>
      </c>
      <c r="G35" s="123">
        <v>347</v>
      </c>
      <c r="H35" s="274">
        <f t="shared" si="8"/>
        <v>376.14800000000002</v>
      </c>
      <c r="I35" s="304">
        <f t="shared" si="9"/>
        <v>376</v>
      </c>
      <c r="L35" s="197"/>
    </row>
    <row r="36" spans="1:12" customFormat="1" outlineLevel="1" x14ac:dyDescent="0.2">
      <c r="A36" s="209" t="s">
        <v>2035</v>
      </c>
      <c r="B36" s="70" t="s">
        <v>1023</v>
      </c>
      <c r="C36" s="92" t="s">
        <v>549</v>
      </c>
      <c r="D36" s="118">
        <f t="shared" si="5"/>
        <v>115.83333333333333</v>
      </c>
      <c r="E36" s="118">
        <f t="shared" si="6"/>
        <v>23.166666666666671</v>
      </c>
      <c r="F36" s="118">
        <f t="shared" si="7"/>
        <v>139</v>
      </c>
      <c r="G36" s="123">
        <v>128</v>
      </c>
      <c r="H36" s="274">
        <f t="shared" si="8"/>
        <v>138.75200000000001</v>
      </c>
      <c r="I36" s="304">
        <f t="shared" si="9"/>
        <v>139</v>
      </c>
      <c r="L36" s="195"/>
    </row>
    <row r="37" spans="1:12" customFormat="1" outlineLevel="1" x14ac:dyDescent="0.2">
      <c r="A37" s="209" t="s">
        <v>2036</v>
      </c>
      <c r="B37" s="70" t="s">
        <v>1024</v>
      </c>
      <c r="C37" s="92" t="s">
        <v>549</v>
      </c>
      <c r="D37" s="118">
        <f t="shared" si="5"/>
        <v>115.83333333333333</v>
      </c>
      <c r="E37" s="118">
        <f t="shared" si="6"/>
        <v>23.166666666666671</v>
      </c>
      <c r="F37" s="118">
        <f t="shared" si="7"/>
        <v>139</v>
      </c>
      <c r="G37" s="123">
        <v>128</v>
      </c>
      <c r="H37" s="274">
        <f t="shared" si="8"/>
        <v>138.75200000000001</v>
      </c>
      <c r="I37" s="304">
        <f t="shared" si="9"/>
        <v>139</v>
      </c>
      <c r="L37" s="195"/>
    </row>
    <row r="38" spans="1:12" customFormat="1" outlineLevel="1" x14ac:dyDescent="0.2">
      <c r="A38" s="209" t="s">
        <v>2037</v>
      </c>
      <c r="B38" s="70" t="s">
        <v>1025</v>
      </c>
      <c r="C38" s="92" t="s">
        <v>549</v>
      </c>
      <c r="D38" s="118">
        <f t="shared" si="5"/>
        <v>115.83333333333333</v>
      </c>
      <c r="E38" s="118">
        <f t="shared" si="6"/>
        <v>23.166666666666671</v>
      </c>
      <c r="F38" s="118">
        <f t="shared" si="7"/>
        <v>139</v>
      </c>
      <c r="G38" s="123">
        <v>128</v>
      </c>
      <c r="H38" s="274">
        <f t="shared" si="8"/>
        <v>138.75200000000001</v>
      </c>
      <c r="I38" s="304">
        <f t="shared" si="9"/>
        <v>139</v>
      </c>
      <c r="L38" s="195"/>
    </row>
    <row r="39" spans="1:12" customFormat="1" outlineLevel="1" x14ac:dyDescent="0.2">
      <c r="A39" s="209" t="s">
        <v>2038</v>
      </c>
      <c r="B39" s="70" t="s">
        <v>1026</v>
      </c>
      <c r="C39" s="92" t="s">
        <v>549</v>
      </c>
      <c r="D39" s="118">
        <f t="shared" si="5"/>
        <v>115.83333333333333</v>
      </c>
      <c r="E39" s="118">
        <f t="shared" si="6"/>
        <v>23.166666666666671</v>
      </c>
      <c r="F39" s="118">
        <f t="shared" si="7"/>
        <v>139</v>
      </c>
      <c r="G39" s="123">
        <v>128</v>
      </c>
      <c r="H39" s="274">
        <f t="shared" si="8"/>
        <v>138.75200000000001</v>
      </c>
      <c r="I39" s="304">
        <f t="shared" si="9"/>
        <v>139</v>
      </c>
      <c r="L39" s="195"/>
    </row>
    <row r="40" spans="1:12" customFormat="1" outlineLevel="1" x14ac:dyDescent="0.2">
      <c r="A40" s="209" t="s">
        <v>2039</v>
      </c>
      <c r="B40" s="70" t="s">
        <v>1027</v>
      </c>
      <c r="C40" s="92" t="s">
        <v>549</v>
      </c>
      <c r="D40" s="118">
        <f t="shared" si="5"/>
        <v>115.83333333333333</v>
      </c>
      <c r="E40" s="118">
        <f t="shared" si="6"/>
        <v>23.166666666666671</v>
      </c>
      <c r="F40" s="118">
        <f t="shared" si="7"/>
        <v>139</v>
      </c>
      <c r="G40" s="123">
        <v>128</v>
      </c>
      <c r="H40" s="274">
        <f t="shared" si="8"/>
        <v>138.75200000000001</v>
      </c>
      <c r="I40" s="304">
        <f t="shared" si="9"/>
        <v>139</v>
      </c>
      <c r="L40" s="195"/>
    </row>
    <row r="41" spans="1:12" customFormat="1" outlineLevel="1" x14ac:dyDescent="0.2">
      <c r="A41" s="209" t="s">
        <v>2040</v>
      </c>
      <c r="B41" s="70" t="s">
        <v>1028</v>
      </c>
      <c r="C41" s="92" t="s">
        <v>549</v>
      </c>
      <c r="D41" s="118">
        <f t="shared" si="5"/>
        <v>130.83333333333331</v>
      </c>
      <c r="E41" s="118">
        <f t="shared" si="6"/>
        <v>26.166666666666671</v>
      </c>
      <c r="F41" s="118">
        <f t="shared" si="7"/>
        <v>157</v>
      </c>
      <c r="G41" s="123">
        <v>145</v>
      </c>
      <c r="H41" s="274">
        <f t="shared" si="8"/>
        <v>157.18</v>
      </c>
      <c r="I41" s="304">
        <f t="shared" si="9"/>
        <v>157</v>
      </c>
      <c r="L41" s="195"/>
    </row>
    <row r="42" spans="1:12" s="83" customFormat="1" outlineLevel="1" x14ac:dyDescent="0.2">
      <c r="A42" s="209" t="s">
        <v>2041</v>
      </c>
      <c r="B42" s="70" t="s">
        <v>1029</v>
      </c>
      <c r="C42" s="92" t="s">
        <v>549</v>
      </c>
      <c r="D42" s="118">
        <f t="shared" si="5"/>
        <v>471.66666666666663</v>
      </c>
      <c r="E42" s="118">
        <f t="shared" si="6"/>
        <v>94.333333333333343</v>
      </c>
      <c r="F42" s="118">
        <f t="shared" si="7"/>
        <v>566</v>
      </c>
      <c r="G42" s="123">
        <v>522</v>
      </c>
      <c r="H42" s="274">
        <f t="shared" si="8"/>
        <v>565.84800000000007</v>
      </c>
      <c r="I42" s="304">
        <f t="shared" si="9"/>
        <v>566</v>
      </c>
      <c r="L42" s="197"/>
    </row>
    <row r="43" spans="1:12" s="83" customFormat="1" outlineLevel="1" x14ac:dyDescent="0.2">
      <c r="A43" s="209" t="s">
        <v>2042</v>
      </c>
      <c r="B43" s="70" t="s">
        <v>1030</v>
      </c>
      <c r="C43" s="92" t="s">
        <v>549</v>
      </c>
      <c r="D43" s="118">
        <f t="shared" si="5"/>
        <v>427.5</v>
      </c>
      <c r="E43" s="118">
        <f t="shared" si="6"/>
        <v>85.5</v>
      </c>
      <c r="F43" s="118">
        <f>I43</f>
        <v>513</v>
      </c>
      <c r="G43" s="123">
        <v>473</v>
      </c>
      <c r="H43" s="274">
        <f t="shared" si="8"/>
        <v>512.73200000000008</v>
      </c>
      <c r="I43" s="304">
        <f t="shared" si="9"/>
        <v>513</v>
      </c>
      <c r="L43" s="197"/>
    </row>
    <row r="44" spans="1:12" s="83" customFormat="1" outlineLevel="1" x14ac:dyDescent="0.2">
      <c r="A44" s="209" t="s">
        <v>2043</v>
      </c>
      <c r="B44" s="70" t="s">
        <v>1031</v>
      </c>
      <c r="C44" s="92" t="s">
        <v>549</v>
      </c>
      <c r="D44" s="118">
        <f t="shared" si="5"/>
        <v>540.83333333333326</v>
      </c>
      <c r="E44" s="118">
        <f t="shared" si="6"/>
        <v>108.16666666666669</v>
      </c>
      <c r="F44" s="118">
        <f t="shared" si="7"/>
        <v>649</v>
      </c>
      <c r="G44" s="123">
        <v>599</v>
      </c>
      <c r="H44" s="274">
        <f t="shared" si="8"/>
        <v>649.31600000000003</v>
      </c>
      <c r="I44" s="304">
        <f t="shared" si="9"/>
        <v>649</v>
      </c>
      <c r="L44" s="197"/>
    </row>
    <row r="45" spans="1:12" s="83" customFormat="1" ht="18.75" x14ac:dyDescent="0.2">
      <c r="A45" s="407" t="s">
        <v>2020</v>
      </c>
      <c r="B45" s="452"/>
      <c r="C45" s="452"/>
      <c r="D45" s="452"/>
      <c r="E45" s="452"/>
      <c r="F45" s="452"/>
      <c r="G45" s="409"/>
      <c r="H45" s="309"/>
      <c r="I45" s="309"/>
      <c r="L45" s="197"/>
    </row>
    <row r="46" spans="1:12" s="83" customFormat="1" outlineLevel="1" x14ac:dyDescent="0.2">
      <c r="A46" s="207" t="s">
        <v>164</v>
      </c>
      <c r="B46" s="70" t="s">
        <v>1032</v>
      </c>
      <c r="C46" s="91" t="s">
        <v>549</v>
      </c>
      <c r="D46" s="118">
        <f>F46-E46</f>
        <v>327.5</v>
      </c>
      <c r="E46" s="118">
        <f>F46/1.2*0.2</f>
        <v>65.5</v>
      </c>
      <c r="F46" s="118">
        <f>I46</f>
        <v>393</v>
      </c>
      <c r="G46" s="123">
        <v>363</v>
      </c>
      <c r="H46" s="274">
        <f>G46*$H$6</f>
        <v>393.49200000000002</v>
      </c>
      <c r="I46" s="304">
        <f>ROUND(H46,0)</f>
        <v>393</v>
      </c>
      <c r="L46" s="197"/>
    </row>
    <row r="47" spans="1:12" s="83" customFormat="1" outlineLevel="1" x14ac:dyDescent="0.2">
      <c r="A47" s="207" t="s">
        <v>283</v>
      </c>
      <c r="B47" s="70" t="s">
        <v>1033</v>
      </c>
      <c r="C47" s="91" t="s">
        <v>549</v>
      </c>
      <c r="D47" s="118">
        <f>F47-E47</f>
        <v>271.66666666666663</v>
      </c>
      <c r="E47" s="118">
        <f>F47/1.2*0.2</f>
        <v>54.333333333333343</v>
      </c>
      <c r="F47" s="118">
        <f>I47</f>
        <v>326</v>
      </c>
      <c r="G47" s="123">
        <v>301</v>
      </c>
      <c r="H47" s="274">
        <f>G47*$H$6</f>
        <v>326.28400000000005</v>
      </c>
      <c r="I47" s="304">
        <f>ROUND(H47,0)</f>
        <v>326</v>
      </c>
      <c r="L47" s="197"/>
    </row>
    <row r="48" spans="1:12" s="83" customFormat="1" ht="18.75" x14ac:dyDescent="0.2">
      <c r="A48" s="407" t="s">
        <v>2021</v>
      </c>
      <c r="B48" s="452"/>
      <c r="C48" s="452"/>
      <c r="D48" s="452"/>
      <c r="E48" s="452"/>
      <c r="F48" s="452"/>
      <c r="G48" s="409"/>
      <c r="H48" s="309"/>
      <c r="I48" s="309"/>
      <c r="L48" s="197"/>
    </row>
    <row r="49" spans="1:12" s="83" customFormat="1" outlineLevel="1" x14ac:dyDescent="0.2">
      <c r="A49" s="207" t="s">
        <v>84</v>
      </c>
      <c r="B49" s="70" t="s">
        <v>1034</v>
      </c>
      <c r="C49" s="91" t="s">
        <v>549</v>
      </c>
      <c r="D49" s="118">
        <f>F49-E49</f>
        <v>927.5</v>
      </c>
      <c r="E49" s="118">
        <f>F49/1.2*0.2</f>
        <v>185.5</v>
      </c>
      <c r="F49" s="118">
        <f>I49</f>
        <v>1113</v>
      </c>
      <c r="G49" s="123">
        <v>1027</v>
      </c>
      <c r="H49" s="274">
        <f>G49*$H$6</f>
        <v>1113.268</v>
      </c>
      <c r="I49" s="304">
        <f>ROUND(H49,0)</f>
        <v>1113</v>
      </c>
      <c r="L49" s="197"/>
    </row>
    <row r="50" spans="1:12" s="83" customFormat="1" outlineLevel="1" x14ac:dyDescent="0.2">
      <c r="A50" s="207" t="s">
        <v>259</v>
      </c>
      <c r="B50" s="70" t="s">
        <v>1035</v>
      </c>
      <c r="C50" s="91" t="s">
        <v>549</v>
      </c>
      <c r="D50" s="118">
        <f>F50-E50</f>
        <v>1068.3333333333333</v>
      </c>
      <c r="E50" s="118">
        <f>F50/1.2*0.2</f>
        <v>213.66666666666671</v>
      </c>
      <c r="F50" s="118">
        <f>I50</f>
        <v>1282</v>
      </c>
      <c r="G50" s="123">
        <v>1183</v>
      </c>
      <c r="H50" s="274">
        <f>G50*$H$6</f>
        <v>1282.3720000000001</v>
      </c>
      <c r="I50" s="304">
        <f>ROUND(H50,0)</f>
        <v>1282</v>
      </c>
      <c r="L50" s="197"/>
    </row>
    <row r="51" spans="1:12" s="83" customFormat="1" ht="18.75" x14ac:dyDescent="0.2">
      <c r="A51" s="407" t="s">
        <v>2022</v>
      </c>
      <c r="B51" s="452"/>
      <c r="C51" s="452"/>
      <c r="D51" s="452"/>
      <c r="E51" s="452"/>
      <c r="F51" s="452"/>
      <c r="G51" s="409"/>
      <c r="H51" s="309"/>
      <c r="I51" s="309"/>
      <c r="L51" s="197"/>
    </row>
    <row r="52" spans="1:12" s="83" customFormat="1" outlineLevel="1" x14ac:dyDescent="0.2">
      <c r="A52" s="207" t="s">
        <v>91</v>
      </c>
      <c r="B52" s="70" t="s">
        <v>1036</v>
      </c>
      <c r="C52" s="91" t="s">
        <v>549</v>
      </c>
      <c r="D52" s="118">
        <f>F52-E52</f>
        <v>1212.5</v>
      </c>
      <c r="E52" s="118">
        <f>F52/1.2*0.2</f>
        <v>242.5</v>
      </c>
      <c r="F52" s="118">
        <f>I52</f>
        <v>1455</v>
      </c>
      <c r="G52" s="123">
        <v>1342</v>
      </c>
      <c r="H52" s="274">
        <f>G52*$H$6</f>
        <v>1454.7280000000001</v>
      </c>
      <c r="I52" s="304">
        <f>ROUND(H52,0)</f>
        <v>1455</v>
      </c>
      <c r="L52" s="197"/>
    </row>
    <row r="53" spans="1:12" s="83" customFormat="1" ht="18.75" x14ac:dyDescent="0.2">
      <c r="A53" s="407" t="s">
        <v>2023</v>
      </c>
      <c r="B53" s="452"/>
      <c r="C53" s="452"/>
      <c r="D53" s="452"/>
      <c r="E53" s="452"/>
      <c r="F53" s="452"/>
      <c r="G53" s="409"/>
      <c r="H53" s="309"/>
      <c r="I53" s="309"/>
      <c r="L53" s="197"/>
    </row>
    <row r="54" spans="1:12" s="83" customFormat="1" outlineLevel="1" x14ac:dyDescent="0.2">
      <c r="A54" s="207" t="s">
        <v>96</v>
      </c>
      <c r="B54" s="70" t="s">
        <v>1039</v>
      </c>
      <c r="C54" s="93" t="s">
        <v>549</v>
      </c>
      <c r="D54" s="118">
        <f>F54-E54</f>
        <v>327.5</v>
      </c>
      <c r="E54" s="118">
        <f>F54/1.2*0.2</f>
        <v>65.5</v>
      </c>
      <c r="F54" s="118">
        <f>I54</f>
        <v>393</v>
      </c>
      <c r="G54" s="123">
        <v>363</v>
      </c>
      <c r="H54" s="274">
        <f>G54*$H$6</f>
        <v>393.49200000000002</v>
      </c>
      <c r="I54" s="304">
        <f>ROUND(H54,0)</f>
        <v>393</v>
      </c>
      <c r="L54" s="197"/>
    </row>
    <row r="55" spans="1:12" s="83" customFormat="1" outlineLevel="1" x14ac:dyDescent="0.2">
      <c r="A55" s="207" t="s">
        <v>97</v>
      </c>
      <c r="B55" s="70" t="s">
        <v>1040</v>
      </c>
      <c r="C55" s="93" t="s">
        <v>549</v>
      </c>
      <c r="D55" s="118">
        <f t="shared" ref="D55:D79" si="10">F55-E55</f>
        <v>327.5</v>
      </c>
      <c r="E55" s="118">
        <f t="shared" ref="E55:E79" si="11">F55/1.2*0.2</f>
        <v>65.5</v>
      </c>
      <c r="F55" s="118">
        <f t="shared" ref="F55:F79" si="12">I55</f>
        <v>393</v>
      </c>
      <c r="G55" s="123">
        <v>363</v>
      </c>
      <c r="H55" s="274">
        <f t="shared" ref="H55:H79" si="13">G55*$H$6</f>
        <v>393.49200000000002</v>
      </c>
      <c r="I55" s="304">
        <f t="shared" ref="I55:I79" si="14">ROUND(H55,0)</f>
        <v>393</v>
      </c>
      <c r="L55" s="197"/>
    </row>
    <row r="56" spans="1:12" s="83" customFormat="1" outlineLevel="1" x14ac:dyDescent="0.2">
      <c r="A56" s="209" t="s">
        <v>98</v>
      </c>
      <c r="B56" s="70" t="s">
        <v>1041</v>
      </c>
      <c r="C56" s="93" t="s">
        <v>549</v>
      </c>
      <c r="D56" s="118">
        <f t="shared" si="10"/>
        <v>327.5</v>
      </c>
      <c r="E56" s="118">
        <f t="shared" si="11"/>
        <v>65.5</v>
      </c>
      <c r="F56" s="118">
        <f t="shared" si="12"/>
        <v>393</v>
      </c>
      <c r="G56" s="123">
        <v>363</v>
      </c>
      <c r="H56" s="274">
        <f t="shared" si="13"/>
        <v>393.49200000000002</v>
      </c>
      <c r="I56" s="304">
        <f t="shared" si="14"/>
        <v>393</v>
      </c>
      <c r="L56" s="197"/>
    </row>
    <row r="57" spans="1:12" s="83" customFormat="1" outlineLevel="1" x14ac:dyDescent="0.2">
      <c r="A57" s="209" t="s">
        <v>216</v>
      </c>
      <c r="B57" s="70" t="s">
        <v>1042</v>
      </c>
      <c r="C57" s="93" t="s">
        <v>549</v>
      </c>
      <c r="D57" s="118">
        <f t="shared" si="10"/>
        <v>413.33333333333331</v>
      </c>
      <c r="E57" s="118">
        <f t="shared" si="11"/>
        <v>82.666666666666686</v>
      </c>
      <c r="F57" s="118">
        <f t="shared" si="12"/>
        <v>496</v>
      </c>
      <c r="G57" s="123">
        <v>458</v>
      </c>
      <c r="H57" s="274">
        <f t="shared" si="13"/>
        <v>496.47200000000004</v>
      </c>
      <c r="I57" s="304">
        <f t="shared" si="14"/>
        <v>496</v>
      </c>
      <c r="L57" s="197"/>
    </row>
    <row r="58" spans="1:12" s="83" customFormat="1" outlineLevel="1" x14ac:dyDescent="0.2">
      <c r="A58" s="209" t="s">
        <v>217</v>
      </c>
      <c r="B58" s="70" t="s">
        <v>1043</v>
      </c>
      <c r="C58" s="93" t="s">
        <v>549</v>
      </c>
      <c r="D58" s="118">
        <f t="shared" si="10"/>
        <v>327.5</v>
      </c>
      <c r="E58" s="118">
        <f t="shared" si="11"/>
        <v>65.5</v>
      </c>
      <c r="F58" s="118">
        <f t="shared" si="12"/>
        <v>393</v>
      </c>
      <c r="G58" s="123">
        <v>363</v>
      </c>
      <c r="H58" s="274">
        <f t="shared" si="13"/>
        <v>393.49200000000002</v>
      </c>
      <c r="I58" s="304">
        <f t="shared" si="14"/>
        <v>393</v>
      </c>
      <c r="L58" s="197"/>
    </row>
    <row r="59" spans="1:12" s="83" customFormat="1" ht="15" customHeight="1" outlineLevel="1" x14ac:dyDescent="0.2">
      <c r="A59" s="209" t="s">
        <v>274</v>
      </c>
      <c r="B59" s="70" t="s">
        <v>1044</v>
      </c>
      <c r="C59" s="93" t="s">
        <v>549</v>
      </c>
      <c r="D59" s="118">
        <f t="shared" si="10"/>
        <v>327.5</v>
      </c>
      <c r="E59" s="118">
        <f t="shared" si="11"/>
        <v>65.5</v>
      </c>
      <c r="F59" s="118">
        <f t="shared" si="12"/>
        <v>393</v>
      </c>
      <c r="G59" s="123">
        <v>363</v>
      </c>
      <c r="H59" s="274">
        <f t="shared" si="13"/>
        <v>393.49200000000002</v>
      </c>
      <c r="I59" s="304">
        <f t="shared" si="14"/>
        <v>393</v>
      </c>
      <c r="L59" s="197"/>
    </row>
    <row r="60" spans="1:12" s="83" customFormat="1" ht="16.5" customHeight="1" outlineLevel="1" x14ac:dyDescent="0.2">
      <c r="A60" s="209" t="s">
        <v>452</v>
      </c>
      <c r="B60" s="70" t="s">
        <v>1045</v>
      </c>
      <c r="C60" s="93" t="s">
        <v>549</v>
      </c>
      <c r="D60" s="118">
        <f t="shared" si="10"/>
        <v>327.5</v>
      </c>
      <c r="E60" s="118">
        <f t="shared" si="11"/>
        <v>65.5</v>
      </c>
      <c r="F60" s="118">
        <f t="shared" si="12"/>
        <v>393</v>
      </c>
      <c r="G60" s="123">
        <v>363</v>
      </c>
      <c r="H60" s="274">
        <f t="shared" si="13"/>
        <v>393.49200000000002</v>
      </c>
      <c r="I60" s="304">
        <f t="shared" si="14"/>
        <v>393</v>
      </c>
      <c r="L60" s="197"/>
    </row>
    <row r="61" spans="1:12" s="83" customFormat="1" outlineLevel="1" x14ac:dyDescent="0.2">
      <c r="A61" s="209" t="s">
        <v>2044</v>
      </c>
      <c r="B61" s="70" t="s">
        <v>1046</v>
      </c>
      <c r="C61" s="93" t="s">
        <v>549</v>
      </c>
      <c r="D61" s="118">
        <f t="shared" si="10"/>
        <v>327.5</v>
      </c>
      <c r="E61" s="118">
        <f t="shared" si="11"/>
        <v>65.5</v>
      </c>
      <c r="F61" s="118">
        <f t="shared" si="12"/>
        <v>393</v>
      </c>
      <c r="G61" s="123">
        <v>363</v>
      </c>
      <c r="H61" s="274">
        <f t="shared" si="13"/>
        <v>393.49200000000002</v>
      </c>
      <c r="I61" s="304">
        <f t="shared" si="14"/>
        <v>393</v>
      </c>
      <c r="L61" s="197"/>
    </row>
    <row r="62" spans="1:12" s="83" customFormat="1" outlineLevel="1" x14ac:dyDescent="0.2">
      <c r="A62" s="209" t="s">
        <v>2045</v>
      </c>
      <c r="B62" s="70" t="s">
        <v>1047</v>
      </c>
      <c r="C62" s="93" t="s">
        <v>549</v>
      </c>
      <c r="D62" s="118">
        <f t="shared" si="10"/>
        <v>327.5</v>
      </c>
      <c r="E62" s="118">
        <f t="shared" si="11"/>
        <v>65.5</v>
      </c>
      <c r="F62" s="118">
        <f t="shared" si="12"/>
        <v>393</v>
      </c>
      <c r="G62" s="123">
        <v>363</v>
      </c>
      <c r="H62" s="274">
        <f t="shared" si="13"/>
        <v>393.49200000000002</v>
      </c>
      <c r="I62" s="304">
        <f t="shared" si="14"/>
        <v>393</v>
      </c>
      <c r="L62" s="197"/>
    </row>
    <row r="63" spans="1:12" s="83" customFormat="1" outlineLevel="1" x14ac:dyDescent="0.2">
      <c r="A63" s="209" t="s">
        <v>2046</v>
      </c>
      <c r="B63" s="70" t="s">
        <v>1048</v>
      </c>
      <c r="C63" s="93" t="s">
        <v>549</v>
      </c>
      <c r="D63" s="118">
        <f t="shared" si="10"/>
        <v>327.5</v>
      </c>
      <c r="E63" s="118">
        <f t="shared" si="11"/>
        <v>65.5</v>
      </c>
      <c r="F63" s="118">
        <f t="shared" si="12"/>
        <v>393</v>
      </c>
      <c r="G63" s="123">
        <v>363</v>
      </c>
      <c r="H63" s="274">
        <f t="shared" si="13"/>
        <v>393.49200000000002</v>
      </c>
      <c r="I63" s="304">
        <f t="shared" si="14"/>
        <v>393</v>
      </c>
      <c r="L63" s="197"/>
    </row>
    <row r="64" spans="1:12" s="83" customFormat="1" outlineLevel="1" x14ac:dyDescent="0.2">
      <c r="A64" s="209" t="s">
        <v>2047</v>
      </c>
      <c r="B64" s="70" t="s">
        <v>1049</v>
      </c>
      <c r="C64" s="93" t="s">
        <v>549</v>
      </c>
      <c r="D64" s="118">
        <f t="shared" si="10"/>
        <v>327.5</v>
      </c>
      <c r="E64" s="118">
        <f t="shared" si="11"/>
        <v>65.5</v>
      </c>
      <c r="F64" s="118">
        <f t="shared" si="12"/>
        <v>393</v>
      </c>
      <c r="G64" s="123">
        <v>363</v>
      </c>
      <c r="H64" s="274">
        <f t="shared" si="13"/>
        <v>393.49200000000002</v>
      </c>
      <c r="I64" s="304">
        <f t="shared" si="14"/>
        <v>393</v>
      </c>
      <c r="L64" s="197"/>
    </row>
    <row r="65" spans="1:12" s="83" customFormat="1" outlineLevel="1" x14ac:dyDescent="0.2">
      <c r="A65" s="209" t="s">
        <v>2048</v>
      </c>
      <c r="B65" s="70" t="s">
        <v>1050</v>
      </c>
      <c r="C65" s="93" t="s">
        <v>549</v>
      </c>
      <c r="D65" s="118">
        <f t="shared" si="10"/>
        <v>327.5</v>
      </c>
      <c r="E65" s="118">
        <f t="shared" si="11"/>
        <v>65.5</v>
      </c>
      <c r="F65" s="118">
        <f t="shared" si="12"/>
        <v>393</v>
      </c>
      <c r="G65" s="123">
        <v>363</v>
      </c>
      <c r="H65" s="274">
        <f t="shared" si="13"/>
        <v>393.49200000000002</v>
      </c>
      <c r="I65" s="304">
        <f t="shared" si="14"/>
        <v>393</v>
      </c>
      <c r="L65" s="197"/>
    </row>
    <row r="66" spans="1:12" s="83" customFormat="1" outlineLevel="1" x14ac:dyDescent="0.2">
      <c r="A66" s="209" t="s">
        <v>2049</v>
      </c>
      <c r="B66" s="70" t="s">
        <v>1051</v>
      </c>
      <c r="C66" s="93" t="s">
        <v>549</v>
      </c>
      <c r="D66" s="118">
        <f t="shared" si="10"/>
        <v>327.5</v>
      </c>
      <c r="E66" s="118">
        <f t="shared" si="11"/>
        <v>65.5</v>
      </c>
      <c r="F66" s="118">
        <f t="shared" si="12"/>
        <v>393</v>
      </c>
      <c r="G66" s="123">
        <v>363</v>
      </c>
      <c r="H66" s="274">
        <f t="shared" si="13"/>
        <v>393.49200000000002</v>
      </c>
      <c r="I66" s="304">
        <f t="shared" si="14"/>
        <v>393</v>
      </c>
      <c r="L66" s="197"/>
    </row>
    <row r="67" spans="1:12" s="83" customFormat="1" outlineLevel="1" x14ac:dyDescent="0.2">
      <c r="A67" s="209" t="s">
        <v>2050</v>
      </c>
      <c r="B67" s="70" t="s">
        <v>1052</v>
      </c>
      <c r="C67" s="93" t="s">
        <v>549</v>
      </c>
      <c r="D67" s="118">
        <f t="shared" si="10"/>
        <v>327.5</v>
      </c>
      <c r="E67" s="118">
        <f t="shared" si="11"/>
        <v>65.5</v>
      </c>
      <c r="F67" s="118">
        <f t="shared" si="12"/>
        <v>393</v>
      </c>
      <c r="G67" s="123">
        <v>363</v>
      </c>
      <c r="H67" s="274">
        <f t="shared" si="13"/>
        <v>393.49200000000002</v>
      </c>
      <c r="I67" s="304">
        <f t="shared" si="14"/>
        <v>393</v>
      </c>
      <c r="L67" s="197"/>
    </row>
    <row r="68" spans="1:12" s="83" customFormat="1" outlineLevel="1" x14ac:dyDescent="0.2">
      <c r="A68" s="209" t="s">
        <v>2051</v>
      </c>
      <c r="B68" s="70" t="s">
        <v>1053</v>
      </c>
      <c r="C68" s="93" t="s">
        <v>549</v>
      </c>
      <c r="D68" s="118">
        <f t="shared" si="10"/>
        <v>327.5</v>
      </c>
      <c r="E68" s="118">
        <f t="shared" si="11"/>
        <v>65.5</v>
      </c>
      <c r="F68" s="118">
        <f t="shared" si="12"/>
        <v>393</v>
      </c>
      <c r="G68" s="123">
        <v>363</v>
      </c>
      <c r="H68" s="274">
        <f t="shared" si="13"/>
        <v>393.49200000000002</v>
      </c>
      <c r="I68" s="304">
        <f t="shared" si="14"/>
        <v>393</v>
      </c>
      <c r="L68" s="197"/>
    </row>
    <row r="69" spans="1:12" s="83" customFormat="1" outlineLevel="1" x14ac:dyDescent="0.2">
      <c r="A69" s="209" t="s">
        <v>2052</v>
      </c>
      <c r="B69" s="70" t="s">
        <v>1054</v>
      </c>
      <c r="C69" s="93" t="s">
        <v>549</v>
      </c>
      <c r="D69" s="118">
        <f t="shared" si="10"/>
        <v>327.5</v>
      </c>
      <c r="E69" s="118">
        <f t="shared" si="11"/>
        <v>65.5</v>
      </c>
      <c r="F69" s="118">
        <f t="shared" si="12"/>
        <v>393</v>
      </c>
      <c r="G69" s="123">
        <v>363</v>
      </c>
      <c r="H69" s="274">
        <f t="shared" si="13"/>
        <v>393.49200000000002</v>
      </c>
      <c r="I69" s="304">
        <f t="shared" si="14"/>
        <v>393</v>
      </c>
      <c r="L69" s="197"/>
    </row>
    <row r="70" spans="1:12" s="83" customFormat="1" outlineLevel="1" x14ac:dyDescent="0.2">
      <c r="A70" s="209" t="s">
        <v>2053</v>
      </c>
      <c r="B70" s="70" t="s">
        <v>1055</v>
      </c>
      <c r="C70" s="93" t="s">
        <v>549</v>
      </c>
      <c r="D70" s="118">
        <f t="shared" si="10"/>
        <v>327.5</v>
      </c>
      <c r="E70" s="118">
        <f t="shared" si="11"/>
        <v>65.5</v>
      </c>
      <c r="F70" s="118">
        <f t="shared" si="12"/>
        <v>393</v>
      </c>
      <c r="G70" s="123">
        <v>363</v>
      </c>
      <c r="H70" s="274">
        <f t="shared" si="13"/>
        <v>393.49200000000002</v>
      </c>
      <c r="I70" s="304">
        <f t="shared" si="14"/>
        <v>393</v>
      </c>
      <c r="L70" s="197"/>
    </row>
    <row r="71" spans="1:12" s="83" customFormat="1" outlineLevel="1" x14ac:dyDescent="0.2">
      <c r="A71" s="209" t="s">
        <v>2054</v>
      </c>
      <c r="B71" s="70" t="s">
        <v>1056</v>
      </c>
      <c r="C71" s="93" t="s">
        <v>549</v>
      </c>
      <c r="D71" s="118">
        <f t="shared" si="10"/>
        <v>327.5</v>
      </c>
      <c r="E71" s="118">
        <f t="shared" si="11"/>
        <v>65.5</v>
      </c>
      <c r="F71" s="118">
        <f t="shared" si="12"/>
        <v>393</v>
      </c>
      <c r="G71" s="123">
        <v>363</v>
      </c>
      <c r="H71" s="274">
        <f t="shared" si="13"/>
        <v>393.49200000000002</v>
      </c>
      <c r="I71" s="304">
        <f t="shared" si="14"/>
        <v>393</v>
      </c>
      <c r="L71" s="197"/>
    </row>
    <row r="72" spans="1:12" s="83" customFormat="1" outlineLevel="1" x14ac:dyDescent="0.2">
      <c r="A72" s="209" t="s">
        <v>2055</v>
      </c>
      <c r="B72" s="70" t="s">
        <v>1057</v>
      </c>
      <c r="C72" s="93" t="s">
        <v>549</v>
      </c>
      <c r="D72" s="118">
        <f t="shared" si="10"/>
        <v>327.5</v>
      </c>
      <c r="E72" s="118">
        <f t="shared" si="11"/>
        <v>65.5</v>
      </c>
      <c r="F72" s="118">
        <f t="shared" si="12"/>
        <v>393</v>
      </c>
      <c r="G72" s="123">
        <v>363</v>
      </c>
      <c r="H72" s="274">
        <f t="shared" si="13"/>
        <v>393.49200000000002</v>
      </c>
      <c r="I72" s="304">
        <f t="shared" si="14"/>
        <v>393</v>
      </c>
      <c r="L72" s="197"/>
    </row>
    <row r="73" spans="1:12" s="83" customFormat="1" outlineLevel="1" x14ac:dyDescent="0.2">
      <c r="A73" s="209" t="s">
        <v>2056</v>
      </c>
      <c r="B73" s="70" t="s">
        <v>1058</v>
      </c>
      <c r="C73" s="93" t="s">
        <v>549</v>
      </c>
      <c r="D73" s="118">
        <f t="shared" si="10"/>
        <v>327.5</v>
      </c>
      <c r="E73" s="118">
        <f t="shared" si="11"/>
        <v>65.5</v>
      </c>
      <c r="F73" s="118">
        <f t="shared" si="12"/>
        <v>393</v>
      </c>
      <c r="G73" s="123">
        <v>363</v>
      </c>
      <c r="H73" s="274">
        <f t="shared" si="13"/>
        <v>393.49200000000002</v>
      </c>
      <c r="I73" s="304">
        <f t="shared" si="14"/>
        <v>393</v>
      </c>
      <c r="L73" s="197"/>
    </row>
    <row r="74" spans="1:12" s="83" customFormat="1" outlineLevel="1" x14ac:dyDescent="0.2">
      <c r="A74" s="209" t="s">
        <v>2057</v>
      </c>
      <c r="B74" s="70" t="s">
        <v>1059</v>
      </c>
      <c r="C74" s="93" t="s">
        <v>549</v>
      </c>
      <c r="D74" s="118">
        <f t="shared" si="10"/>
        <v>327.5</v>
      </c>
      <c r="E74" s="118">
        <f t="shared" si="11"/>
        <v>65.5</v>
      </c>
      <c r="F74" s="118">
        <f t="shared" si="12"/>
        <v>393</v>
      </c>
      <c r="G74" s="123">
        <v>363</v>
      </c>
      <c r="H74" s="274">
        <f t="shared" si="13"/>
        <v>393.49200000000002</v>
      </c>
      <c r="I74" s="304">
        <f t="shared" si="14"/>
        <v>393</v>
      </c>
      <c r="L74" s="197"/>
    </row>
    <row r="75" spans="1:12" s="83" customFormat="1" outlineLevel="1" x14ac:dyDescent="0.2">
      <c r="A75" s="209" t="s">
        <v>2058</v>
      </c>
      <c r="B75" s="70" t="s">
        <v>1060</v>
      </c>
      <c r="C75" s="93" t="s">
        <v>549</v>
      </c>
      <c r="D75" s="118">
        <f t="shared" si="10"/>
        <v>327.5</v>
      </c>
      <c r="E75" s="118">
        <f t="shared" si="11"/>
        <v>65.5</v>
      </c>
      <c r="F75" s="118">
        <f t="shared" si="12"/>
        <v>393</v>
      </c>
      <c r="G75" s="123">
        <v>363</v>
      </c>
      <c r="H75" s="274">
        <f t="shared" si="13"/>
        <v>393.49200000000002</v>
      </c>
      <c r="I75" s="304">
        <f t="shared" si="14"/>
        <v>393</v>
      </c>
      <c r="L75" s="197"/>
    </row>
    <row r="76" spans="1:12" s="83" customFormat="1" outlineLevel="1" x14ac:dyDescent="0.2">
      <c r="A76" s="209" t="s">
        <v>2059</v>
      </c>
      <c r="B76" s="70" t="s">
        <v>1061</v>
      </c>
      <c r="C76" s="93" t="s">
        <v>549</v>
      </c>
      <c r="D76" s="118">
        <f t="shared" si="10"/>
        <v>327.5</v>
      </c>
      <c r="E76" s="118">
        <f t="shared" si="11"/>
        <v>65.5</v>
      </c>
      <c r="F76" s="118">
        <f t="shared" si="12"/>
        <v>393</v>
      </c>
      <c r="G76" s="123">
        <v>363</v>
      </c>
      <c r="H76" s="274">
        <f t="shared" si="13"/>
        <v>393.49200000000002</v>
      </c>
      <c r="I76" s="304">
        <f t="shared" si="14"/>
        <v>393</v>
      </c>
      <c r="L76" s="197"/>
    </row>
    <row r="77" spans="1:12" s="83" customFormat="1" outlineLevel="1" x14ac:dyDescent="0.2">
      <c r="A77" s="209" t="s">
        <v>2060</v>
      </c>
      <c r="B77" s="70" t="s">
        <v>1062</v>
      </c>
      <c r="C77" s="93" t="s">
        <v>549</v>
      </c>
      <c r="D77" s="118">
        <f t="shared" si="10"/>
        <v>327.5</v>
      </c>
      <c r="E77" s="118">
        <f t="shared" si="11"/>
        <v>65.5</v>
      </c>
      <c r="F77" s="118">
        <f t="shared" si="12"/>
        <v>393</v>
      </c>
      <c r="G77" s="123">
        <v>363</v>
      </c>
      <c r="H77" s="274">
        <f t="shared" si="13"/>
        <v>393.49200000000002</v>
      </c>
      <c r="I77" s="304">
        <f t="shared" si="14"/>
        <v>393</v>
      </c>
      <c r="L77" s="197"/>
    </row>
    <row r="78" spans="1:12" s="83" customFormat="1" outlineLevel="1" x14ac:dyDescent="0.2">
      <c r="A78" s="209" t="s">
        <v>2061</v>
      </c>
      <c r="B78" s="70" t="s">
        <v>1063</v>
      </c>
      <c r="C78" s="93" t="s">
        <v>549</v>
      </c>
      <c r="D78" s="118">
        <f t="shared" si="10"/>
        <v>348.33333333333331</v>
      </c>
      <c r="E78" s="118">
        <f t="shared" si="11"/>
        <v>69.666666666666671</v>
      </c>
      <c r="F78" s="118">
        <f t="shared" si="12"/>
        <v>418</v>
      </c>
      <c r="G78" s="123">
        <v>386</v>
      </c>
      <c r="H78" s="274">
        <f t="shared" si="13"/>
        <v>418.42400000000004</v>
      </c>
      <c r="I78" s="304">
        <f t="shared" si="14"/>
        <v>418</v>
      </c>
      <c r="L78" s="197"/>
    </row>
    <row r="79" spans="1:12" s="83" customFormat="1" outlineLevel="1" x14ac:dyDescent="0.2">
      <c r="A79" s="209" t="s">
        <v>2062</v>
      </c>
      <c r="B79" s="70" t="s">
        <v>1064</v>
      </c>
      <c r="C79" s="93" t="s">
        <v>549</v>
      </c>
      <c r="D79" s="118">
        <f t="shared" si="10"/>
        <v>356.66666666666663</v>
      </c>
      <c r="E79" s="118">
        <f t="shared" si="11"/>
        <v>71.333333333333343</v>
      </c>
      <c r="F79" s="118">
        <f t="shared" si="12"/>
        <v>428</v>
      </c>
      <c r="G79" s="123">
        <v>395</v>
      </c>
      <c r="H79" s="274">
        <f t="shared" si="13"/>
        <v>428.18</v>
      </c>
      <c r="I79" s="304">
        <f t="shared" si="14"/>
        <v>428</v>
      </c>
      <c r="L79" s="197"/>
    </row>
    <row r="80" spans="1:12" s="83" customFormat="1" ht="18.75" x14ac:dyDescent="0.2">
      <c r="A80" s="407" t="s">
        <v>2024</v>
      </c>
      <c r="B80" s="452"/>
      <c r="C80" s="452"/>
      <c r="D80" s="452"/>
      <c r="E80" s="452"/>
      <c r="F80" s="452"/>
      <c r="G80" s="409"/>
      <c r="H80" s="309"/>
      <c r="I80" s="309"/>
      <c r="L80" s="197"/>
    </row>
    <row r="81" spans="1:12" s="83" customFormat="1" outlineLevel="1" x14ac:dyDescent="0.2">
      <c r="A81" s="207" t="s">
        <v>99</v>
      </c>
      <c r="B81" s="70" t="s">
        <v>1065</v>
      </c>
      <c r="C81" s="93" t="s">
        <v>549</v>
      </c>
      <c r="D81" s="118">
        <f>F81-E81</f>
        <v>327.5</v>
      </c>
      <c r="E81" s="118">
        <f>F81/1.2*0.2</f>
        <v>65.5</v>
      </c>
      <c r="F81" s="118">
        <f>I81</f>
        <v>393</v>
      </c>
      <c r="G81" s="123">
        <v>363</v>
      </c>
      <c r="H81" s="274">
        <f>G81*$H$6</f>
        <v>393.49200000000002</v>
      </c>
      <c r="I81" s="304">
        <f>ROUND(H81,0)</f>
        <v>393</v>
      </c>
      <c r="L81" s="197"/>
    </row>
    <row r="82" spans="1:12" s="83" customFormat="1" outlineLevel="1" x14ac:dyDescent="0.2">
      <c r="A82" s="207" t="s">
        <v>100</v>
      </c>
      <c r="B82" s="70" t="s">
        <v>1066</v>
      </c>
      <c r="C82" s="93" t="s">
        <v>549</v>
      </c>
      <c r="D82" s="118">
        <f t="shared" ref="D82:D107" si="15">F82-E82</f>
        <v>327.5</v>
      </c>
      <c r="E82" s="118">
        <f t="shared" ref="E82:E107" si="16">F82/1.2*0.2</f>
        <v>65.5</v>
      </c>
      <c r="F82" s="118">
        <f t="shared" ref="F82:F107" si="17">I82</f>
        <v>393</v>
      </c>
      <c r="G82" s="123">
        <v>363</v>
      </c>
      <c r="H82" s="274">
        <f t="shared" ref="H82:H107" si="18">G82*$H$6</f>
        <v>393.49200000000002</v>
      </c>
      <c r="I82" s="304">
        <f t="shared" ref="I82:I107" si="19">ROUND(H82,0)</f>
        <v>393</v>
      </c>
      <c r="L82" s="197"/>
    </row>
    <row r="83" spans="1:12" s="83" customFormat="1" outlineLevel="1" x14ac:dyDescent="0.2">
      <c r="A83" s="209" t="s">
        <v>102</v>
      </c>
      <c r="B83" s="70" t="s">
        <v>1067</v>
      </c>
      <c r="C83" s="93" t="s">
        <v>549</v>
      </c>
      <c r="D83" s="118">
        <f t="shared" si="15"/>
        <v>427.5</v>
      </c>
      <c r="E83" s="118">
        <f t="shared" si="16"/>
        <v>85.5</v>
      </c>
      <c r="F83" s="118">
        <f t="shared" si="17"/>
        <v>513</v>
      </c>
      <c r="G83" s="123">
        <v>473</v>
      </c>
      <c r="H83" s="274">
        <f t="shared" si="18"/>
        <v>512.73200000000008</v>
      </c>
      <c r="I83" s="304">
        <f t="shared" si="19"/>
        <v>513</v>
      </c>
      <c r="L83" s="197"/>
    </row>
    <row r="84" spans="1:12" s="83" customFormat="1" outlineLevel="1" x14ac:dyDescent="0.2">
      <c r="A84" s="209" t="s">
        <v>103</v>
      </c>
      <c r="B84" s="70" t="s">
        <v>1068</v>
      </c>
      <c r="C84" s="93" t="s">
        <v>549</v>
      </c>
      <c r="D84" s="118">
        <f t="shared" si="15"/>
        <v>427.5</v>
      </c>
      <c r="E84" s="118">
        <f t="shared" si="16"/>
        <v>85.5</v>
      </c>
      <c r="F84" s="118">
        <f t="shared" si="17"/>
        <v>513</v>
      </c>
      <c r="G84" s="123">
        <v>473</v>
      </c>
      <c r="H84" s="274">
        <f t="shared" si="18"/>
        <v>512.73200000000008</v>
      </c>
      <c r="I84" s="304">
        <f t="shared" si="19"/>
        <v>513</v>
      </c>
      <c r="L84" s="197"/>
    </row>
    <row r="85" spans="1:12" s="83" customFormat="1" outlineLevel="1" x14ac:dyDescent="0.2">
      <c r="A85" s="209" t="s">
        <v>104</v>
      </c>
      <c r="B85" s="70" t="s">
        <v>1069</v>
      </c>
      <c r="C85" s="93" t="s">
        <v>549</v>
      </c>
      <c r="D85" s="118">
        <f t="shared" si="15"/>
        <v>327.5</v>
      </c>
      <c r="E85" s="118">
        <f t="shared" si="16"/>
        <v>65.5</v>
      </c>
      <c r="F85" s="118">
        <f t="shared" si="17"/>
        <v>393</v>
      </c>
      <c r="G85" s="123">
        <v>363</v>
      </c>
      <c r="H85" s="274">
        <f t="shared" si="18"/>
        <v>393.49200000000002</v>
      </c>
      <c r="I85" s="304">
        <f t="shared" si="19"/>
        <v>393</v>
      </c>
      <c r="L85" s="197"/>
    </row>
    <row r="86" spans="1:12" s="83" customFormat="1" outlineLevel="1" x14ac:dyDescent="0.2">
      <c r="A86" s="209" t="s">
        <v>414</v>
      </c>
      <c r="B86" s="70" t="s">
        <v>1070</v>
      </c>
      <c r="C86" s="93" t="s">
        <v>549</v>
      </c>
      <c r="D86" s="118">
        <f t="shared" si="15"/>
        <v>327.5</v>
      </c>
      <c r="E86" s="118">
        <f t="shared" si="16"/>
        <v>65.5</v>
      </c>
      <c r="F86" s="118">
        <f t="shared" si="17"/>
        <v>393</v>
      </c>
      <c r="G86" s="123">
        <v>363</v>
      </c>
      <c r="H86" s="274">
        <f t="shared" si="18"/>
        <v>393.49200000000002</v>
      </c>
      <c r="I86" s="304">
        <f t="shared" si="19"/>
        <v>393</v>
      </c>
      <c r="L86" s="197"/>
    </row>
    <row r="87" spans="1:12" s="83" customFormat="1" outlineLevel="1" x14ac:dyDescent="0.2">
      <c r="A87" s="209" t="s">
        <v>2063</v>
      </c>
      <c r="B87" s="70" t="s">
        <v>1071</v>
      </c>
      <c r="C87" s="93" t="s">
        <v>549</v>
      </c>
      <c r="D87" s="118">
        <f t="shared" si="15"/>
        <v>427.5</v>
      </c>
      <c r="E87" s="118">
        <f t="shared" si="16"/>
        <v>85.5</v>
      </c>
      <c r="F87" s="118">
        <f t="shared" si="17"/>
        <v>513</v>
      </c>
      <c r="G87" s="123">
        <v>473</v>
      </c>
      <c r="H87" s="274">
        <f t="shared" si="18"/>
        <v>512.73200000000008</v>
      </c>
      <c r="I87" s="304">
        <f t="shared" si="19"/>
        <v>513</v>
      </c>
      <c r="L87" s="197"/>
    </row>
    <row r="88" spans="1:12" s="83" customFormat="1" outlineLevel="1" x14ac:dyDescent="0.2">
      <c r="A88" s="209" t="s">
        <v>2064</v>
      </c>
      <c r="B88" s="70" t="s">
        <v>1072</v>
      </c>
      <c r="C88" s="93" t="s">
        <v>549</v>
      </c>
      <c r="D88" s="118">
        <f t="shared" si="15"/>
        <v>427.5</v>
      </c>
      <c r="E88" s="118">
        <f t="shared" si="16"/>
        <v>85.5</v>
      </c>
      <c r="F88" s="118">
        <f t="shared" si="17"/>
        <v>513</v>
      </c>
      <c r="G88" s="123">
        <v>473</v>
      </c>
      <c r="H88" s="274">
        <f t="shared" si="18"/>
        <v>512.73200000000008</v>
      </c>
      <c r="I88" s="304">
        <f t="shared" si="19"/>
        <v>513</v>
      </c>
      <c r="L88" s="197"/>
    </row>
    <row r="89" spans="1:12" s="83" customFormat="1" outlineLevel="1" x14ac:dyDescent="0.2">
      <c r="A89" s="209" t="s">
        <v>2065</v>
      </c>
      <c r="B89" s="70" t="s">
        <v>1738</v>
      </c>
      <c r="C89" s="93" t="s">
        <v>549</v>
      </c>
      <c r="D89" s="118">
        <f t="shared" si="15"/>
        <v>327.5</v>
      </c>
      <c r="E89" s="118">
        <f t="shared" si="16"/>
        <v>65.5</v>
      </c>
      <c r="F89" s="118">
        <f t="shared" si="17"/>
        <v>393</v>
      </c>
      <c r="G89" s="123">
        <v>363</v>
      </c>
      <c r="H89" s="274">
        <f t="shared" si="18"/>
        <v>393.49200000000002</v>
      </c>
      <c r="I89" s="304">
        <f t="shared" si="19"/>
        <v>393</v>
      </c>
      <c r="L89" s="197"/>
    </row>
    <row r="90" spans="1:12" s="83" customFormat="1" outlineLevel="1" x14ac:dyDescent="0.2">
      <c r="A90" s="209" t="s">
        <v>2066</v>
      </c>
      <c r="B90" s="70" t="s">
        <v>1074</v>
      </c>
      <c r="C90" s="93" t="s">
        <v>549</v>
      </c>
      <c r="D90" s="118">
        <f t="shared" si="15"/>
        <v>327.5</v>
      </c>
      <c r="E90" s="118">
        <f t="shared" si="16"/>
        <v>65.5</v>
      </c>
      <c r="F90" s="118">
        <f t="shared" si="17"/>
        <v>393</v>
      </c>
      <c r="G90" s="123">
        <v>363</v>
      </c>
      <c r="H90" s="274">
        <f t="shared" si="18"/>
        <v>393.49200000000002</v>
      </c>
      <c r="I90" s="304">
        <f t="shared" si="19"/>
        <v>393</v>
      </c>
      <c r="L90" s="197"/>
    </row>
    <row r="91" spans="1:12" s="83" customFormat="1" outlineLevel="1" x14ac:dyDescent="0.2">
      <c r="A91" s="209" t="s">
        <v>2067</v>
      </c>
      <c r="B91" s="70" t="s">
        <v>1075</v>
      </c>
      <c r="C91" s="93" t="s">
        <v>549</v>
      </c>
      <c r="D91" s="118">
        <f t="shared" si="15"/>
        <v>327.5</v>
      </c>
      <c r="E91" s="118">
        <f t="shared" si="16"/>
        <v>65.5</v>
      </c>
      <c r="F91" s="118">
        <f t="shared" si="17"/>
        <v>393</v>
      </c>
      <c r="G91" s="123">
        <v>363</v>
      </c>
      <c r="H91" s="274">
        <f t="shared" si="18"/>
        <v>393.49200000000002</v>
      </c>
      <c r="I91" s="304">
        <f t="shared" si="19"/>
        <v>393</v>
      </c>
      <c r="L91" s="197"/>
    </row>
    <row r="92" spans="1:12" s="83" customFormat="1" outlineLevel="1" x14ac:dyDescent="0.2">
      <c r="A92" s="209" t="s">
        <v>2068</v>
      </c>
      <c r="B92" s="70" t="s">
        <v>282</v>
      </c>
      <c r="C92" s="93" t="s">
        <v>549</v>
      </c>
      <c r="D92" s="118">
        <f t="shared" si="15"/>
        <v>327.5</v>
      </c>
      <c r="E92" s="118">
        <f t="shared" si="16"/>
        <v>65.5</v>
      </c>
      <c r="F92" s="118">
        <f t="shared" si="17"/>
        <v>393</v>
      </c>
      <c r="G92" s="123">
        <v>363</v>
      </c>
      <c r="H92" s="274">
        <f t="shared" si="18"/>
        <v>393.49200000000002</v>
      </c>
      <c r="I92" s="304">
        <f t="shared" si="19"/>
        <v>393</v>
      </c>
      <c r="L92" s="197"/>
    </row>
    <row r="93" spans="1:12" s="83" customFormat="1" ht="15" customHeight="1" outlineLevel="1" x14ac:dyDescent="0.2">
      <c r="A93" s="209" t="s">
        <v>2069</v>
      </c>
      <c r="B93" s="70" t="s">
        <v>1076</v>
      </c>
      <c r="C93" s="93" t="s">
        <v>549</v>
      </c>
      <c r="D93" s="118">
        <f t="shared" si="15"/>
        <v>327.5</v>
      </c>
      <c r="E93" s="118">
        <f t="shared" si="16"/>
        <v>65.5</v>
      </c>
      <c r="F93" s="118">
        <f t="shared" si="17"/>
        <v>393</v>
      </c>
      <c r="G93" s="123">
        <v>363</v>
      </c>
      <c r="H93" s="274">
        <f t="shared" si="18"/>
        <v>393.49200000000002</v>
      </c>
      <c r="I93" s="304">
        <f t="shared" si="19"/>
        <v>393</v>
      </c>
      <c r="L93" s="197"/>
    </row>
    <row r="94" spans="1:12" s="83" customFormat="1" outlineLevel="1" x14ac:dyDescent="0.2">
      <c r="A94" s="209" t="s">
        <v>2070</v>
      </c>
      <c r="B94" s="70" t="s">
        <v>1077</v>
      </c>
      <c r="C94" s="93" t="s">
        <v>549</v>
      </c>
      <c r="D94" s="118">
        <f t="shared" si="15"/>
        <v>327.5</v>
      </c>
      <c r="E94" s="118">
        <f t="shared" si="16"/>
        <v>65.5</v>
      </c>
      <c r="F94" s="118">
        <f t="shared" si="17"/>
        <v>393</v>
      </c>
      <c r="G94" s="123">
        <v>363</v>
      </c>
      <c r="H94" s="274">
        <f t="shared" si="18"/>
        <v>393.49200000000002</v>
      </c>
      <c r="I94" s="304">
        <f t="shared" si="19"/>
        <v>393</v>
      </c>
      <c r="L94" s="197"/>
    </row>
    <row r="95" spans="1:12" s="83" customFormat="1" outlineLevel="1" x14ac:dyDescent="0.2">
      <c r="A95" s="209" t="s">
        <v>2071</v>
      </c>
      <c r="B95" s="70" t="s">
        <v>1739</v>
      </c>
      <c r="C95" s="93" t="s">
        <v>549</v>
      </c>
      <c r="D95" s="118">
        <f t="shared" si="15"/>
        <v>327.5</v>
      </c>
      <c r="E95" s="118">
        <f t="shared" si="16"/>
        <v>65.5</v>
      </c>
      <c r="F95" s="118">
        <f t="shared" si="17"/>
        <v>393</v>
      </c>
      <c r="G95" s="123">
        <v>363</v>
      </c>
      <c r="H95" s="274">
        <f t="shared" si="18"/>
        <v>393.49200000000002</v>
      </c>
      <c r="I95" s="304">
        <f t="shared" si="19"/>
        <v>393</v>
      </c>
      <c r="L95" s="197"/>
    </row>
    <row r="96" spans="1:12" s="83" customFormat="1" outlineLevel="1" x14ac:dyDescent="0.2">
      <c r="A96" s="209" t="s">
        <v>2072</v>
      </c>
      <c r="B96" s="70" t="s">
        <v>1079</v>
      </c>
      <c r="C96" s="93" t="s">
        <v>549</v>
      </c>
      <c r="D96" s="118">
        <f t="shared" si="15"/>
        <v>327.5</v>
      </c>
      <c r="E96" s="118">
        <f t="shared" si="16"/>
        <v>65.5</v>
      </c>
      <c r="F96" s="118">
        <f t="shared" si="17"/>
        <v>393</v>
      </c>
      <c r="G96" s="123">
        <v>363</v>
      </c>
      <c r="H96" s="274">
        <f t="shared" si="18"/>
        <v>393.49200000000002</v>
      </c>
      <c r="I96" s="304">
        <f t="shared" si="19"/>
        <v>393</v>
      </c>
      <c r="L96" s="197"/>
    </row>
    <row r="97" spans="1:12" s="83" customFormat="1" outlineLevel="1" x14ac:dyDescent="0.2">
      <c r="A97" s="209" t="s">
        <v>2073</v>
      </c>
      <c r="B97" s="70" t="s">
        <v>1080</v>
      </c>
      <c r="C97" s="93" t="s">
        <v>549</v>
      </c>
      <c r="D97" s="118">
        <f t="shared" si="15"/>
        <v>327.5</v>
      </c>
      <c r="E97" s="118">
        <f t="shared" si="16"/>
        <v>65.5</v>
      </c>
      <c r="F97" s="118">
        <f t="shared" si="17"/>
        <v>393</v>
      </c>
      <c r="G97" s="123">
        <v>363</v>
      </c>
      <c r="H97" s="274">
        <f t="shared" si="18"/>
        <v>393.49200000000002</v>
      </c>
      <c r="I97" s="304">
        <f t="shared" si="19"/>
        <v>393</v>
      </c>
      <c r="L97" s="197"/>
    </row>
    <row r="98" spans="1:12" s="83" customFormat="1" outlineLevel="1" x14ac:dyDescent="0.2">
      <c r="A98" s="209" t="s">
        <v>2074</v>
      </c>
      <c r="B98" s="70" t="s">
        <v>1081</v>
      </c>
      <c r="C98" s="93" t="s">
        <v>549</v>
      </c>
      <c r="D98" s="118">
        <f t="shared" si="15"/>
        <v>256.66666666666663</v>
      </c>
      <c r="E98" s="118">
        <f t="shared" si="16"/>
        <v>51.333333333333343</v>
      </c>
      <c r="F98" s="118">
        <f t="shared" si="17"/>
        <v>308</v>
      </c>
      <c r="G98" s="123">
        <v>284</v>
      </c>
      <c r="H98" s="274">
        <f t="shared" si="18"/>
        <v>307.85599999999999</v>
      </c>
      <c r="I98" s="304">
        <f t="shared" si="19"/>
        <v>308</v>
      </c>
      <c r="L98" s="197"/>
    </row>
    <row r="99" spans="1:12" s="83" customFormat="1" outlineLevel="1" x14ac:dyDescent="0.2">
      <c r="A99" s="209" t="s">
        <v>2075</v>
      </c>
      <c r="B99" s="70" t="s">
        <v>1740</v>
      </c>
      <c r="C99" s="93" t="s">
        <v>549</v>
      </c>
      <c r="D99" s="118">
        <f t="shared" si="15"/>
        <v>427.5</v>
      </c>
      <c r="E99" s="118">
        <f t="shared" si="16"/>
        <v>85.5</v>
      </c>
      <c r="F99" s="118">
        <f t="shared" si="17"/>
        <v>513</v>
      </c>
      <c r="G99" s="123">
        <v>473</v>
      </c>
      <c r="H99" s="274">
        <f t="shared" si="18"/>
        <v>512.73200000000008</v>
      </c>
      <c r="I99" s="304">
        <f t="shared" si="19"/>
        <v>513</v>
      </c>
      <c r="L99" s="197"/>
    </row>
    <row r="100" spans="1:12" s="83" customFormat="1" outlineLevel="1" x14ac:dyDescent="0.2">
      <c r="A100" s="209" t="s">
        <v>2076</v>
      </c>
      <c r="B100" s="70" t="s">
        <v>1741</v>
      </c>
      <c r="C100" s="93" t="s">
        <v>549</v>
      </c>
      <c r="D100" s="118">
        <f t="shared" si="15"/>
        <v>427.5</v>
      </c>
      <c r="E100" s="118">
        <f t="shared" si="16"/>
        <v>85.5</v>
      </c>
      <c r="F100" s="118">
        <f t="shared" si="17"/>
        <v>513</v>
      </c>
      <c r="G100" s="123">
        <v>473</v>
      </c>
      <c r="H100" s="274">
        <f t="shared" si="18"/>
        <v>512.73200000000008</v>
      </c>
      <c r="I100" s="304">
        <f t="shared" si="19"/>
        <v>513</v>
      </c>
      <c r="L100" s="197"/>
    </row>
    <row r="101" spans="1:12" s="83" customFormat="1" outlineLevel="1" x14ac:dyDescent="0.2">
      <c r="A101" s="209" t="s">
        <v>2077</v>
      </c>
      <c r="B101" s="70" t="s">
        <v>1742</v>
      </c>
      <c r="C101" s="93" t="s">
        <v>549</v>
      </c>
      <c r="D101" s="118">
        <f t="shared" si="15"/>
        <v>427.5</v>
      </c>
      <c r="E101" s="118">
        <f t="shared" si="16"/>
        <v>85.5</v>
      </c>
      <c r="F101" s="118">
        <f t="shared" si="17"/>
        <v>513</v>
      </c>
      <c r="G101" s="123">
        <v>473</v>
      </c>
      <c r="H101" s="274">
        <f t="shared" si="18"/>
        <v>512.73200000000008</v>
      </c>
      <c r="I101" s="304">
        <f t="shared" si="19"/>
        <v>513</v>
      </c>
      <c r="L101" s="197"/>
    </row>
    <row r="102" spans="1:12" s="83" customFormat="1" outlineLevel="1" x14ac:dyDescent="0.2">
      <c r="A102" s="209" t="s">
        <v>2078</v>
      </c>
      <c r="B102" s="70" t="s">
        <v>1743</v>
      </c>
      <c r="C102" s="93" t="s">
        <v>549</v>
      </c>
      <c r="D102" s="118">
        <f t="shared" si="15"/>
        <v>427.5</v>
      </c>
      <c r="E102" s="118">
        <f t="shared" si="16"/>
        <v>85.5</v>
      </c>
      <c r="F102" s="118">
        <f t="shared" si="17"/>
        <v>513</v>
      </c>
      <c r="G102" s="123">
        <v>473</v>
      </c>
      <c r="H102" s="274">
        <f t="shared" si="18"/>
        <v>512.73200000000008</v>
      </c>
      <c r="I102" s="304">
        <f t="shared" si="19"/>
        <v>513</v>
      </c>
      <c r="L102" s="197"/>
    </row>
    <row r="103" spans="1:12" s="83" customFormat="1" outlineLevel="1" x14ac:dyDescent="0.2">
      <c r="A103" s="209" t="s">
        <v>2079</v>
      </c>
      <c r="B103" s="70" t="s">
        <v>1744</v>
      </c>
      <c r="C103" s="93" t="s">
        <v>549</v>
      </c>
      <c r="D103" s="118">
        <f t="shared" si="15"/>
        <v>427.5</v>
      </c>
      <c r="E103" s="118">
        <f t="shared" si="16"/>
        <v>85.5</v>
      </c>
      <c r="F103" s="118">
        <f t="shared" si="17"/>
        <v>513</v>
      </c>
      <c r="G103" s="123">
        <v>473</v>
      </c>
      <c r="H103" s="274">
        <f t="shared" si="18"/>
        <v>512.73200000000008</v>
      </c>
      <c r="I103" s="304">
        <f t="shared" si="19"/>
        <v>513</v>
      </c>
      <c r="L103" s="197"/>
    </row>
    <row r="104" spans="1:12" s="83" customFormat="1" outlineLevel="1" x14ac:dyDescent="0.2">
      <c r="A104" s="209" t="s">
        <v>2080</v>
      </c>
      <c r="B104" s="70" t="s">
        <v>1087</v>
      </c>
      <c r="C104" s="93" t="s">
        <v>549</v>
      </c>
      <c r="D104" s="118">
        <f t="shared" si="15"/>
        <v>327.5</v>
      </c>
      <c r="E104" s="118">
        <f t="shared" si="16"/>
        <v>65.5</v>
      </c>
      <c r="F104" s="118">
        <f t="shared" si="17"/>
        <v>393</v>
      </c>
      <c r="G104" s="123">
        <v>363</v>
      </c>
      <c r="H104" s="274">
        <f t="shared" si="18"/>
        <v>393.49200000000002</v>
      </c>
      <c r="I104" s="304">
        <f t="shared" si="19"/>
        <v>393</v>
      </c>
      <c r="L104" s="197"/>
    </row>
    <row r="105" spans="1:12" s="83" customFormat="1" outlineLevel="1" x14ac:dyDescent="0.2">
      <c r="A105" s="209" t="s">
        <v>2081</v>
      </c>
      <c r="B105" s="70" t="s">
        <v>1088</v>
      </c>
      <c r="C105" s="93" t="s">
        <v>549</v>
      </c>
      <c r="D105" s="118">
        <f t="shared" si="15"/>
        <v>427.5</v>
      </c>
      <c r="E105" s="118">
        <f t="shared" si="16"/>
        <v>85.5</v>
      </c>
      <c r="F105" s="118">
        <f t="shared" si="17"/>
        <v>513</v>
      </c>
      <c r="G105" s="123">
        <v>473</v>
      </c>
      <c r="H105" s="274">
        <f t="shared" si="18"/>
        <v>512.73200000000008</v>
      </c>
      <c r="I105" s="304">
        <f t="shared" si="19"/>
        <v>513</v>
      </c>
      <c r="L105" s="197"/>
    </row>
    <row r="106" spans="1:12" s="83" customFormat="1" outlineLevel="1" x14ac:dyDescent="0.2">
      <c r="A106" s="209" t="s">
        <v>2082</v>
      </c>
      <c r="B106" s="70" t="s">
        <v>1089</v>
      </c>
      <c r="C106" s="93" t="s">
        <v>549</v>
      </c>
      <c r="D106" s="118">
        <f t="shared" si="15"/>
        <v>327.5</v>
      </c>
      <c r="E106" s="118">
        <f t="shared" si="16"/>
        <v>65.5</v>
      </c>
      <c r="F106" s="118">
        <f t="shared" si="17"/>
        <v>393</v>
      </c>
      <c r="G106" s="123">
        <v>363</v>
      </c>
      <c r="H106" s="274">
        <f t="shared" si="18"/>
        <v>393.49200000000002</v>
      </c>
      <c r="I106" s="304">
        <f t="shared" si="19"/>
        <v>393</v>
      </c>
      <c r="L106" s="197"/>
    </row>
    <row r="107" spans="1:12" s="83" customFormat="1" outlineLevel="1" x14ac:dyDescent="0.2">
      <c r="A107" s="209" t="s">
        <v>2083</v>
      </c>
      <c r="B107" s="70" t="s">
        <v>1090</v>
      </c>
      <c r="C107" s="91" t="s">
        <v>549</v>
      </c>
      <c r="D107" s="118">
        <f t="shared" si="15"/>
        <v>440</v>
      </c>
      <c r="E107" s="118">
        <f t="shared" si="16"/>
        <v>88</v>
      </c>
      <c r="F107" s="118">
        <f t="shared" si="17"/>
        <v>528</v>
      </c>
      <c r="G107" s="123">
        <v>487</v>
      </c>
      <c r="H107" s="274">
        <f t="shared" si="18"/>
        <v>527.90800000000002</v>
      </c>
      <c r="I107" s="304">
        <f t="shared" si="19"/>
        <v>528</v>
      </c>
      <c r="L107" s="197"/>
    </row>
    <row r="108" spans="1:12" s="83" customFormat="1" ht="18.75" x14ac:dyDescent="0.2">
      <c r="A108" s="407" t="s">
        <v>2025</v>
      </c>
      <c r="B108" s="452"/>
      <c r="C108" s="452"/>
      <c r="D108" s="452"/>
      <c r="E108" s="452"/>
      <c r="F108" s="452"/>
      <c r="G108" s="409"/>
      <c r="H108" s="309"/>
      <c r="I108" s="309"/>
      <c r="L108" s="197"/>
    </row>
    <row r="109" spans="1:12" s="83" customFormat="1" outlineLevel="1" x14ac:dyDescent="0.2">
      <c r="A109" s="207" t="s">
        <v>117</v>
      </c>
      <c r="B109" s="70" t="s">
        <v>1091</v>
      </c>
      <c r="C109" s="93" t="s">
        <v>549</v>
      </c>
      <c r="D109" s="118">
        <f>F109-E109</f>
        <v>313.33333333333331</v>
      </c>
      <c r="E109" s="118">
        <f>F109/1.2*0.2</f>
        <v>62.666666666666679</v>
      </c>
      <c r="F109" s="118">
        <f>I109</f>
        <v>376</v>
      </c>
      <c r="G109" s="123">
        <v>347</v>
      </c>
      <c r="H109" s="274">
        <f>G109*$H$6</f>
        <v>376.14800000000002</v>
      </c>
      <c r="I109" s="304">
        <f>ROUND(H109,0)</f>
        <v>376</v>
      </c>
      <c r="L109" s="197"/>
    </row>
    <row r="110" spans="1:12" s="83" customFormat="1" outlineLevel="1" x14ac:dyDescent="0.2">
      <c r="A110" s="207" t="s">
        <v>118</v>
      </c>
      <c r="B110" s="70" t="s">
        <v>1092</v>
      </c>
      <c r="C110" s="93" t="s">
        <v>549</v>
      </c>
      <c r="D110" s="118">
        <f t="shared" ref="D110:D120" si="20">F110-E110</f>
        <v>256.66666666666663</v>
      </c>
      <c r="E110" s="118">
        <f t="shared" ref="E110:E120" si="21">F110/1.2*0.2</f>
        <v>51.333333333333343</v>
      </c>
      <c r="F110" s="118">
        <f t="shared" ref="F110:F120" si="22">I110</f>
        <v>308</v>
      </c>
      <c r="G110" s="123">
        <v>284</v>
      </c>
      <c r="H110" s="274">
        <f t="shared" ref="H110:H120" si="23">G110*$H$6</f>
        <v>307.85599999999999</v>
      </c>
      <c r="I110" s="304">
        <f t="shared" ref="I110:I120" si="24">ROUND(H110,0)</f>
        <v>308</v>
      </c>
      <c r="L110" s="197"/>
    </row>
    <row r="111" spans="1:12" s="83" customFormat="1" outlineLevel="1" x14ac:dyDescent="0.2">
      <c r="A111" s="209" t="s">
        <v>285</v>
      </c>
      <c r="B111" s="70" t="s">
        <v>1745</v>
      </c>
      <c r="C111" s="93" t="s">
        <v>549</v>
      </c>
      <c r="D111" s="118">
        <f t="shared" si="20"/>
        <v>327.5</v>
      </c>
      <c r="E111" s="118">
        <f t="shared" si="21"/>
        <v>65.5</v>
      </c>
      <c r="F111" s="118">
        <f t="shared" si="22"/>
        <v>393</v>
      </c>
      <c r="G111" s="123">
        <v>363</v>
      </c>
      <c r="H111" s="274">
        <f t="shared" si="23"/>
        <v>393.49200000000002</v>
      </c>
      <c r="I111" s="304">
        <f t="shared" si="24"/>
        <v>393</v>
      </c>
      <c r="L111" s="197"/>
    </row>
    <row r="112" spans="1:12" s="83" customFormat="1" outlineLevel="1" x14ac:dyDescent="0.2">
      <c r="A112" s="209" t="s">
        <v>120</v>
      </c>
      <c r="B112" s="70" t="s">
        <v>1094</v>
      </c>
      <c r="C112" s="93" t="s">
        <v>549</v>
      </c>
      <c r="D112" s="118">
        <f t="shared" si="20"/>
        <v>327.5</v>
      </c>
      <c r="E112" s="118">
        <f t="shared" si="21"/>
        <v>65.5</v>
      </c>
      <c r="F112" s="118">
        <f t="shared" si="22"/>
        <v>393</v>
      </c>
      <c r="G112" s="123">
        <v>363</v>
      </c>
      <c r="H112" s="274">
        <f t="shared" si="23"/>
        <v>393.49200000000002</v>
      </c>
      <c r="I112" s="304">
        <f t="shared" si="24"/>
        <v>393</v>
      </c>
      <c r="L112" s="197"/>
    </row>
    <row r="113" spans="1:12" s="83" customFormat="1" outlineLevel="1" x14ac:dyDescent="0.2">
      <c r="A113" s="209" t="s">
        <v>122</v>
      </c>
      <c r="B113" s="70" t="s">
        <v>1095</v>
      </c>
      <c r="C113" s="93" t="s">
        <v>549</v>
      </c>
      <c r="D113" s="118">
        <f t="shared" si="20"/>
        <v>327.5</v>
      </c>
      <c r="E113" s="118">
        <f t="shared" si="21"/>
        <v>65.5</v>
      </c>
      <c r="F113" s="118">
        <f t="shared" si="22"/>
        <v>393</v>
      </c>
      <c r="G113" s="123">
        <v>363</v>
      </c>
      <c r="H113" s="274">
        <f t="shared" si="23"/>
        <v>393.49200000000002</v>
      </c>
      <c r="I113" s="304">
        <f t="shared" si="24"/>
        <v>393</v>
      </c>
      <c r="L113" s="197"/>
    </row>
    <row r="114" spans="1:12" s="83" customFormat="1" outlineLevel="1" x14ac:dyDescent="0.2">
      <c r="A114" s="209" t="s">
        <v>124</v>
      </c>
      <c r="B114" s="70" t="s">
        <v>1096</v>
      </c>
      <c r="C114" s="93" t="s">
        <v>549</v>
      </c>
      <c r="D114" s="118">
        <f t="shared" si="20"/>
        <v>327.5</v>
      </c>
      <c r="E114" s="118">
        <f t="shared" si="21"/>
        <v>65.5</v>
      </c>
      <c r="F114" s="118">
        <f t="shared" si="22"/>
        <v>393</v>
      </c>
      <c r="G114" s="123">
        <v>363</v>
      </c>
      <c r="H114" s="274">
        <f t="shared" si="23"/>
        <v>393.49200000000002</v>
      </c>
      <c r="I114" s="304">
        <f t="shared" si="24"/>
        <v>393</v>
      </c>
      <c r="L114" s="197"/>
    </row>
    <row r="115" spans="1:12" s="83" customFormat="1" outlineLevel="1" x14ac:dyDescent="0.2">
      <c r="A115" s="209" t="s">
        <v>125</v>
      </c>
      <c r="B115" s="70" t="s">
        <v>1097</v>
      </c>
      <c r="C115" s="93" t="s">
        <v>549</v>
      </c>
      <c r="D115" s="118">
        <f t="shared" si="20"/>
        <v>327.5</v>
      </c>
      <c r="E115" s="118">
        <f t="shared" si="21"/>
        <v>65.5</v>
      </c>
      <c r="F115" s="118">
        <f t="shared" si="22"/>
        <v>393</v>
      </c>
      <c r="G115" s="123">
        <v>363</v>
      </c>
      <c r="H115" s="274">
        <f t="shared" si="23"/>
        <v>393.49200000000002</v>
      </c>
      <c r="I115" s="304">
        <f t="shared" si="24"/>
        <v>393</v>
      </c>
      <c r="L115" s="197"/>
    </row>
    <row r="116" spans="1:12" s="83" customFormat="1" outlineLevel="1" x14ac:dyDescent="0.2">
      <c r="A116" s="209" t="s">
        <v>126</v>
      </c>
      <c r="B116" s="70" t="s">
        <v>1408</v>
      </c>
      <c r="C116" s="93" t="s">
        <v>549</v>
      </c>
      <c r="D116" s="118">
        <f t="shared" si="20"/>
        <v>327.5</v>
      </c>
      <c r="E116" s="118">
        <f t="shared" si="21"/>
        <v>65.5</v>
      </c>
      <c r="F116" s="118">
        <f t="shared" si="22"/>
        <v>393</v>
      </c>
      <c r="G116" s="123">
        <v>363</v>
      </c>
      <c r="H116" s="274">
        <f t="shared" si="23"/>
        <v>393.49200000000002</v>
      </c>
      <c r="I116" s="304">
        <f t="shared" si="24"/>
        <v>393</v>
      </c>
      <c r="L116" s="197"/>
    </row>
    <row r="117" spans="1:12" s="83" customFormat="1" outlineLevel="1" x14ac:dyDescent="0.2">
      <c r="A117" s="209" t="s">
        <v>127</v>
      </c>
      <c r="B117" s="70" t="s">
        <v>1098</v>
      </c>
      <c r="C117" s="93" t="s">
        <v>549</v>
      </c>
      <c r="D117" s="118">
        <f t="shared" si="20"/>
        <v>327.5</v>
      </c>
      <c r="E117" s="118">
        <f t="shared" si="21"/>
        <v>65.5</v>
      </c>
      <c r="F117" s="118">
        <f t="shared" si="22"/>
        <v>393</v>
      </c>
      <c r="G117" s="123">
        <v>363</v>
      </c>
      <c r="H117" s="274">
        <f t="shared" si="23"/>
        <v>393.49200000000002</v>
      </c>
      <c r="I117" s="304">
        <f t="shared" si="24"/>
        <v>393</v>
      </c>
      <c r="L117" s="197"/>
    </row>
    <row r="118" spans="1:12" s="83" customFormat="1" outlineLevel="1" x14ac:dyDescent="0.2">
      <c r="A118" s="209" t="s">
        <v>128</v>
      </c>
      <c r="B118" s="70" t="s">
        <v>1099</v>
      </c>
      <c r="C118" s="93" t="s">
        <v>549</v>
      </c>
      <c r="D118" s="118">
        <f t="shared" si="20"/>
        <v>327.5</v>
      </c>
      <c r="E118" s="118">
        <f t="shared" si="21"/>
        <v>65.5</v>
      </c>
      <c r="F118" s="118">
        <f t="shared" si="22"/>
        <v>393</v>
      </c>
      <c r="G118" s="123">
        <v>363</v>
      </c>
      <c r="H118" s="274">
        <f t="shared" si="23"/>
        <v>393.49200000000002</v>
      </c>
      <c r="I118" s="304">
        <f t="shared" si="24"/>
        <v>393</v>
      </c>
      <c r="L118" s="197"/>
    </row>
    <row r="119" spans="1:12" s="83" customFormat="1" outlineLevel="1" x14ac:dyDescent="0.2">
      <c r="A119" s="209" t="s">
        <v>129</v>
      </c>
      <c r="B119" s="70" t="s">
        <v>1100</v>
      </c>
      <c r="C119" s="93" t="s">
        <v>549</v>
      </c>
      <c r="D119" s="118">
        <f t="shared" si="20"/>
        <v>327.5</v>
      </c>
      <c r="E119" s="118">
        <f t="shared" si="21"/>
        <v>65.5</v>
      </c>
      <c r="F119" s="118">
        <f t="shared" si="22"/>
        <v>393</v>
      </c>
      <c r="G119" s="123">
        <v>363</v>
      </c>
      <c r="H119" s="274">
        <f t="shared" si="23"/>
        <v>393.49200000000002</v>
      </c>
      <c r="I119" s="304">
        <f t="shared" si="24"/>
        <v>393</v>
      </c>
      <c r="L119" s="197"/>
    </row>
    <row r="120" spans="1:12" s="83" customFormat="1" outlineLevel="1" x14ac:dyDescent="0.2">
      <c r="A120" s="209" t="s">
        <v>215</v>
      </c>
      <c r="B120" s="70" t="s">
        <v>1101</v>
      </c>
      <c r="C120" s="93" t="s">
        <v>549</v>
      </c>
      <c r="D120" s="118">
        <f t="shared" si="20"/>
        <v>327.5</v>
      </c>
      <c r="E120" s="118">
        <f t="shared" si="21"/>
        <v>65.5</v>
      </c>
      <c r="F120" s="118">
        <f t="shared" si="22"/>
        <v>393</v>
      </c>
      <c r="G120" s="123">
        <v>363</v>
      </c>
      <c r="H120" s="274">
        <f t="shared" si="23"/>
        <v>393.49200000000002</v>
      </c>
      <c r="I120" s="304">
        <f t="shared" si="24"/>
        <v>393</v>
      </c>
      <c r="L120" s="197"/>
    </row>
    <row r="121" spans="1:12" s="83" customFormat="1" ht="18.75" x14ac:dyDescent="0.2">
      <c r="A121" s="407" t="s">
        <v>2026</v>
      </c>
      <c r="B121" s="452"/>
      <c r="C121" s="452"/>
      <c r="D121" s="452"/>
      <c r="E121" s="452"/>
      <c r="F121" s="452"/>
      <c r="G121" s="409"/>
      <c r="H121" s="309"/>
      <c r="I121" s="309"/>
      <c r="L121" s="197"/>
    </row>
    <row r="122" spans="1:12" s="83" customFormat="1" outlineLevel="1" x14ac:dyDescent="0.2">
      <c r="A122" s="207" t="s">
        <v>136</v>
      </c>
      <c r="B122" s="70" t="s">
        <v>1102</v>
      </c>
      <c r="C122" s="93" t="s">
        <v>549</v>
      </c>
      <c r="D122" s="118">
        <f>F122-E122</f>
        <v>327.5</v>
      </c>
      <c r="E122" s="118">
        <f>F122/1.2*0.2</f>
        <v>65.5</v>
      </c>
      <c r="F122" s="118">
        <f>I122</f>
        <v>393</v>
      </c>
      <c r="G122" s="123">
        <v>363</v>
      </c>
      <c r="H122" s="274">
        <f>G122*$H$6</f>
        <v>393.49200000000002</v>
      </c>
      <c r="I122" s="304">
        <f>ROUND(H122,0)</f>
        <v>393</v>
      </c>
      <c r="L122" s="197"/>
    </row>
    <row r="123" spans="1:12" s="83" customFormat="1" outlineLevel="1" x14ac:dyDescent="0.2">
      <c r="A123" s="207" t="s">
        <v>138</v>
      </c>
      <c r="B123" s="70" t="s">
        <v>1103</v>
      </c>
      <c r="C123" s="93" t="s">
        <v>549</v>
      </c>
      <c r="D123" s="118">
        <f t="shared" ref="D123:D126" si="25">F123-E123</f>
        <v>355.83333333333331</v>
      </c>
      <c r="E123" s="118">
        <f t="shared" ref="E123:E126" si="26">F123/1.2*0.2</f>
        <v>71.166666666666671</v>
      </c>
      <c r="F123" s="118">
        <f t="shared" ref="F123:F126" si="27">I123</f>
        <v>427</v>
      </c>
      <c r="G123" s="123">
        <v>394</v>
      </c>
      <c r="H123" s="274">
        <f t="shared" ref="H123:H126" si="28">G123*$H$6</f>
        <v>427.096</v>
      </c>
      <c r="I123" s="304">
        <f t="shared" ref="I123:I126" si="29">ROUND(H123,0)</f>
        <v>427</v>
      </c>
      <c r="L123" s="197"/>
    </row>
    <row r="124" spans="1:12" s="83" customFormat="1" outlineLevel="1" x14ac:dyDescent="0.2">
      <c r="A124" s="209" t="s">
        <v>237</v>
      </c>
      <c r="B124" s="70" t="s">
        <v>1104</v>
      </c>
      <c r="C124" s="93" t="s">
        <v>549</v>
      </c>
      <c r="D124" s="118">
        <f t="shared" si="25"/>
        <v>354.16666666666663</v>
      </c>
      <c r="E124" s="118">
        <f t="shared" si="26"/>
        <v>70.833333333333343</v>
      </c>
      <c r="F124" s="118">
        <f t="shared" si="27"/>
        <v>425</v>
      </c>
      <c r="G124" s="123">
        <v>392</v>
      </c>
      <c r="H124" s="274">
        <f t="shared" si="28"/>
        <v>424.92800000000005</v>
      </c>
      <c r="I124" s="304">
        <f t="shared" si="29"/>
        <v>425</v>
      </c>
      <c r="L124" s="197"/>
    </row>
    <row r="125" spans="1:12" s="83" customFormat="1" outlineLevel="1" x14ac:dyDescent="0.2">
      <c r="A125" s="209" t="s">
        <v>341</v>
      </c>
      <c r="B125" s="70" t="s">
        <v>1105</v>
      </c>
      <c r="C125" s="93" t="s">
        <v>549</v>
      </c>
      <c r="D125" s="118">
        <f t="shared" si="25"/>
        <v>399.16666666666663</v>
      </c>
      <c r="E125" s="118">
        <f t="shared" si="26"/>
        <v>79.833333333333343</v>
      </c>
      <c r="F125" s="118">
        <f t="shared" si="27"/>
        <v>479</v>
      </c>
      <c r="G125" s="123">
        <v>442</v>
      </c>
      <c r="H125" s="274">
        <f t="shared" si="28"/>
        <v>479.12800000000004</v>
      </c>
      <c r="I125" s="304">
        <f t="shared" si="29"/>
        <v>479</v>
      </c>
      <c r="L125" s="197"/>
    </row>
    <row r="126" spans="1:12" s="83" customFormat="1" outlineLevel="1" x14ac:dyDescent="0.2">
      <c r="A126" s="209" t="s">
        <v>342</v>
      </c>
      <c r="B126" s="70" t="s">
        <v>1106</v>
      </c>
      <c r="C126" s="93" t="s">
        <v>549</v>
      </c>
      <c r="D126" s="118">
        <f t="shared" si="25"/>
        <v>427.5</v>
      </c>
      <c r="E126" s="118">
        <f t="shared" si="26"/>
        <v>85.5</v>
      </c>
      <c r="F126" s="118">
        <f t="shared" si="27"/>
        <v>513</v>
      </c>
      <c r="G126" s="123">
        <v>473</v>
      </c>
      <c r="H126" s="274">
        <f t="shared" si="28"/>
        <v>512.73200000000008</v>
      </c>
      <c r="I126" s="304">
        <f t="shared" si="29"/>
        <v>513</v>
      </c>
      <c r="L126" s="197"/>
    </row>
    <row r="127" spans="1:12" s="83" customFormat="1" ht="18.75" x14ac:dyDescent="0.2">
      <c r="A127" s="407" t="s">
        <v>2027</v>
      </c>
      <c r="B127" s="452"/>
      <c r="C127" s="452"/>
      <c r="D127" s="452"/>
      <c r="E127" s="452"/>
      <c r="F127" s="452"/>
      <c r="G127" s="409"/>
      <c r="H127" s="309"/>
      <c r="I127" s="309"/>
      <c r="L127" s="197"/>
    </row>
    <row r="128" spans="1:12" s="83" customFormat="1" outlineLevel="1" x14ac:dyDescent="0.2">
      <c r="A128" s="207" t="s">
        <v>159</v>
      </c>
      <c r="B128" s="70" t="s">
        <v>1107</v>
      </c>
      <c r="C128" s="93" t="s">
        <v>549</v>
      </c>
      <c r="D128" s="118">
        <f>F128-E128</f>
        <v>427.5</v>
      </c>
      <c r="E128" s="118">
        <f>F128/1.2*0.2</f>
        <v>85.5</v>
      </c>
      <c r="F128" s="118">
        <f>I128</f>
        <v>513</v>
      </c>
      <c r="G128" s="123">
        <v>473</v>
      </c>
      <c r="H128" s="274">
        <f>G128*$H$6</f>
        <v>512.73200000000008</v>
      </c>
      <c r="I128" s="304">
        <f>ROUND(H128,0)</f>
        <v>513</v>
      </c>
      <c r="L128" s="197"/>
    </row>
    <row r="129" spans="1:12" s="83" customFormat="1" outlineLevel="1" x14ac:dyDescent="0.2">
      <c r="A129" s="207" t="s">
        <v>160</v>
      </c>
      <c r="B129" s="70" t="s">
        <v>1108</v>
      </c>
      <c r="C129" s="93" t="s">
        <v>549</v>
      </c>
      <c r="D129" s="118">
        <f t="shared" ref="D129:D138" si="30">F129-E129</f>
        <v>427.5</v>
      </c>
      <c r="E129" s="118">
        <f t="shared" ref="E129:E138" si="31">F129/1.2*0.2</f>
        <v>85.5</v>
      </c>
      <c r="F129" s="118">
        <f t="shared" ref="F129:F138" si="32">I129</f>
        <v>513</v>
      </c>
      <c r="G129" s="123">
        <v>473</v>
      </c>
      <c r="H129" s="274">
        <f t="shared" ref="H129:H138" si="33">G129*$H$6</f>
        <v>512.73200000000008</v>
      </c>
      <c r="I129" s="304">
        <f t="shared" ref="I129:I138" si="34">ROUND(H129,0)</f>
        <v>513</v>
      </c>
      <c r="L129" s="197"/>
    </row>
    <row r="130" spans="1:12" s="83" customFormat="1" outlineLevel="1" x14ac:dyDescent="0.2">
      <c r="A130" s="209" t="s">
        <v>161</v>
      </c>
      <c r="B130" s="70" t="s">
        <v>1659</v>
      </c>
      <c r="C130" s="93" t="s">
        <v>549</v>
      </c>
      <c r="D130" s="118">
        <f t="shared" si="30"/>
        <v>427.5</v>
      </c>
      <c r="E130" s="118">
        <f t="shared" si="31"/>
        <v>85.5</v>
      </c>
      <c r="F130" s="118">
        <f t="shared" si="32"/>
        <v>513</v>
      </c>
      <c r="G130" s="123">
        <v>473</v>
      </c>
      <c r="H130" s="274">
        <f t="shared" si="33"/>
        <v>512.73200000000008</v>
      </c>
      <c r="I130" s="304">
        <f t="shared" si="34"/>
        <v>513</v>
      </c>
      <c r="L130" s="197"/>
    </row>
    <row r="131" spans="1:12" s="83" customFormat="1" outlineLevel="1" x14ac:dyDescent="0.2">
      <c r="A131" s="209" t="s">
        <v>1692</v>
      </c>
      <c r="B131" s="70" t="s">
        <v>1110</v>
      </c>
      <c r="C131" s="93" t="s">
        <v>549</v>
      </c>
      <c r="D131" s="118">
        <f t="shared" si="30"/>
        <v>427.5</v>
      </c>
      <c r="E131" s="118">
        <f t="shared" si="31"/>
        <v>85.5</v>
      </c>
      <c r="F131" s="118">
        <f t="shared" si="32"/>
        <v>513</v>
      </c>
      <c r="G131" s="123">
        <v>473</v>
      </c>
      <c r="H131" s="274">
        <f t="shared" si="33"/>
        <v>512.73200000000008</v>
      </c>
      <c r="I131" s="304">
        <f t="shared" si="34"/>
        <v>513</v>
      </c>
      <c r="L131" s="197"/>
    </row>
    <row r="132" spans="1:12" s="83" customFormat="1" outlineLevel="1" x14ac:dyDescent="0.2">
      <c r="A132" s="209" t="s">
        <v>1693</v>
      </c>
      <c r="B132" s="70" t="s">
        <v>1660</v>
      </c>
      <c r="C132" s="93" t="s">
        <v>549</v>
      </c>
      <c r="D132" s="118">
        <f t="shared" si="30"/>
        <v>427.5</v>
      </c>
      <c r="E132" s="118">
        <f t="shared" si="31"/>
        <v>85.5</v>
      </c>
      <c r="F132" s="118">
        <f t="shared" si="32"/>
        <v>513</v>
      </c>
      <c r="G132" s="123">
        <v>473</v>
      </c>
      <c r="H132" s="274">
        <f t="shared" si="33"/>
        <v>512.73200000000008</v>
      </c>
      <c r="I132" s="304">
        <f t="shared" si="34"/>
        <v>513</v>
      </c>
      <c r="L132" s="197"/>
    </row>
    <row r="133" spans="1:12" s="83" customFormat="1" outlineLevel="1" x14ac:dyDescent="0.2">
      <c r="A133" s="209" t="s">
        <v>1694</v>
      </c>
      <c r="B133" s="70" t="s">
        <v>1661</v>
      </c>
      <c r="C133" s="93" t="s">
        <v>549</v>
      </c>
      <c r="D133" s="118">
        <f t="shared" si="30"/>
        <v>427.5</v>
      </c>
      <c r="E133" s="118">
        <f t="shared" si="31"/>
        <v>85.5</v>
      </c>
      <c r="F133" s="118">
        <f t="shared" si="32"/>
        <v>513</v>
      </c>
      <c r="G133" s="123">
        <v>473</v>
      </c>
      <c r="H133" s="274">
        <f t="shared" si="33"/>
        <v>512.73200000000008</v>
      </c>
      <c r="I133" s="304">
        <f t="shared" si="34"/>
        <v>513</v>
      </c>
      <c r="L133" s="197"/>
    </row>
    <row r="134" spans="1:12" s="83" customFormat="1" outlineLevel="1" x14ac:dyDescent="0.2">
      <c r="A134" s="209" t="s">
        <v>2084</v>
      </c>
      <c r="B134" s="70" t="s">
        <v>1113</v>
      </c>
      <c r="C134" s="93" t="s">
        <v>549</v>
      </c>
      <c r="D134" s="118">
        <f t="shared" si="30"/>
        <v>427.5</v>
      </c>
      <c r="E134" s="118">
        <f t="shared" si="31"/>
        <v>85.5</v>
      </c>
      <c r="F134" s="118">
        <f t="shared" si="32"/>
        <v>513</v>
      </c>
      <c r="G134" s="123">
        <v>473</v>
      </c>
      <c r="H134" s="274">
        <f t="shared" si="33"/>
        <v>512.73200000000008</v>
      </c>
      <c r="I134" s="304">
        <f t="shared" si="34"/>
        <v>513</v>
      </c>
      <c r="L134" s="197"/>
    </row>
    <row r="135" spans="1:12" s="83" customFormat="1" outlineLevel="1" x14ac:dyDescent="0.2">
      <c r="A135" s="209" t="s">
        <v>2085</v>
      </c>
      <c r="B135" s="70" t="s">
        <v>1662</v>
      </c>
      <c r="C135" s="93" t="s">
        <v>549</v>
      </c>
      <c r="D135" s="118">
        <f t="shared" si="30"/>
        <v>427.5</v>
      </c>
      <c r="E135" s="118">
        <f t="shared" si="31"/>
        <v>85.5</v>
      </c>
      <c r="F135" s="118">
        <f t="shared" si="32"/>
        <v>513</v>
      </c>
      <c r="G135" s="123">
        <v>473</v>
      </c>
      <c r="H135" s="274">
        <f t="shared" si="33"/>
        <v>512.73200000000008</v>
      </c>
      <c r="I135" s="304">
        <f t="shared" si="34"/>
        <v>513</v>
      </c>
      <c r="L135" s="197"/>
    </row>
    <row r="136" spans="1:12" s="83" customFormat="1" outlineLevel="1" x14ac:dyDescent="0.2">
      <c r="A136" s="209" t="s">
        <v>2086</v>
      </c>
      <c r="B136" s="70" t="s">
        <v>1115</v>
      </c>
      <c r="C136" s="93" t="s">
        <v>549</v>
      </c>
      <c r="D136" s="118">
        <f t="shared" si="30"/>
        <v>641.66666666666663</v>
      </c>
      <c r="E136" s="118">
        <f t="shared" si="31"/>
        <v>128.33333333333334</v>
      </c>
      <c r="F136" s="118">
        <f t="shared" si="32"/>
        <v>770</v>
      </c>
      <c r="G136" s="123">
        <v>710</v>
      </c>
      <c r="H136" s="274">
        <f t="shared" si="33"/>
        <v>769.6400000000001</v>
      </c>
      <c r="I136" s="304">
        <f t="shared" si="34"/>
        <v>770</v>
      </c>
      <c r="L136" s="197"/>
    </row>
    <row r="137" spans="1:12" s="83" customFormat="1" outlineLevel="1" x14ac:dyDescent="0.2">
      <c r="A137" s="209" t="s">
        <v>2087</v>
      </c>
      <c r="B137" s="70" t="s">
        <v>1116</v>
      </c>
      <c r="C137" s="93" t="s">
        <v>549</v>
      </c>
      <c r="D137" s="118">
        <f t="shared" si="30"/>
        <v>641.66666666666663</v>
      </c>
      <c r="E137" s="118">
        <f t="shared" si="31"/>
        <v>128.33333333333334</v>
      </c>
      <c r="F137" s="118">
        <f t="shared" si="32"/>
        <v>770</v>
      </c>
      <c r="G137" s="123">
        <v>710</v>
      </c>
      <c r="H137" s="274">
        <f t="shared" si="33"/>
        <v>769.6400000000001</v>
      </c>
      <c r="I137" s="304">
        <f t="shared" si="34"/>
        <v>770</v>
      </c>
      <c r="L137" s="197"/>
    </row>
    <row r="138" spans="1:12" s="83" customFormat="1" outlineLevel="1" x14ac:dyDescent="0.2">
      <c r="A138" s="209" t="s">
        <v>2088</v>
      </c>
      <c r="B138" s="70" t="s">
        <v>1117</v>
      </c>
      <c r="C138" s="93" t="s">
        <v>549</v>
      </c>
      <c r="D138" s="118">
        <f t="shared" si="30"/>
        <v>427.5</v>
      </c>
      <c r="E138" s="118">
        <f t="shared" si="31"/>
        <v>85.5</v>
      </c>
      <c r="F138" s="118">
        <f t="shared" si="32"/>
        <v>513</v>
      </c>
      <c r="G138" s="123">
        <v>473</v>
      </c>
      <c r="H138" s="274">
        <f t="shared" si="33"/>
        <v>512.73200000000008</v>
      </c>
      <c r="I138" s="304">
        <f t="shared" si="34"/>
        <v>513</v>
      </c>
      <c r="L138" s="197"/>
    </row>
    <row r="139" spans="1:12" s="83" customFormat="1" ht="18.75" x14ac:dyDescent="0.2">
      <c r="A139" s="407" t="s">
        <v>2028</v>
      </c>
      <c r="B139" s="452"/>
      <c r="C139" s="452"/>
      <c r="D139" s="452"/>
      <c r="E139" s="452"/>
      <c r="F139" s="452"/>
      <c r="G139" s="409"/>
      <c r="H139" s="309"/>
      <c r="I139" s="309"/>
      <c r="L139" s="197"/>
    </row>
    <row r="140" spans="1:12" s="83" customFormat="1" outlineLevel="1" x14ac:dyDescent="0.2">
      <c r="A140" s="207" t="s">
        <v>155</v>
      </c>
      <c r="B140" s="70" t="s">
        <v>1118</v>
      </c>
      <c r="C140" s="94" t="s">
        <v>549</v>
      </c>
      <c r="D140" s="118">
        <f>F140-E140</f>
        <v>1283.3333333333333</v>
      </c>
      <c r="E140" s="118">
        <f>F140/1.2*0.2</f>
        <v>256.66666666666669</v>
      </c>
      <c r="F140" s="118">
        <f>I140</f>
        <v>1540</v>
      </c>
      <c r="G140" s="123">
        <v>1421</v>
      </c>
      <c r="H140" s="274">
        <f>G140*$H$6</f>
        <v>1540.364</v>
      </c>
      <c r="I140" s="304">
        <f>ROUND(H140,0)</f>
        <v>1540</v>
      </c>
      <c r="L140" s="197"/>
    </row>
    <row r="141" spans="1:12" s="83" customFormat="1" outlineLevel="1" x14ac:dyDescent="0.2">
      <c r="A141" s="207" t="s">
        <v>156</v>
      </c>
      <c r="B141" s="70" t="s">
        <v>1119</v>
      </c>
      <c r="C141" s="93" t="s">
        <v>549</v>
      </c>
      <c r="D141" s="118">
        <f t="shared" ref="D141:D146" si="35">F141-E141</f>
        <v>427.5</v>
      </c>
      <c r="E141" s="118">
        <f t="shared" ref="E141:E146" si="36">F141/1.2*0.2</f>
        <v>85.5</v>
      </c>
      <c r="F141" s="118">
        <f t="shared" ref="F141:F146" si="37">I141</f>
        <v>513</v>
      </c>
      <c r="G141" s="123">
        <v>473</v>
      </c>
      <c r="H141" s="274">
        <f t="shared" ref="H141:H146" si="38">G141*$H$6</f>
        <v>512.73200000000008</v>
      </c>
      <c r="I141" s="304">
        <f t="shared" ref="I141:I146" si="39">ROUND(H141,0)</f>
        <v>513</v>
      </c>
      <c r="L141" s="197"/>
    </row>
    <row r="142" spans="1:12" s="83" customFormat="1" outlineLevel="1" x14ac:dyDescent="0.2">
      <c r="A142" s="209" t="s">
        <v>157</v>
      </c>
      <c r="B142" s="70" t="s">
        <v>1120</v>
      </c>
      <c r="C142" s="93" t="s">
        <v>549</v>
      </c>
      <c r="D142" s="118">
        <f t="shared" si="35"/>
        <v>1424.1666666666665</v>
      </c>
      <c r="E142" s="118">
        <f t="shared" si="36"/>
        <v>284.83333333333337</v>
      </c>
      <c r="F142" s="118">
        <f t="shared" si="37"/>
        <v>1709</v>
      </c>
      <c r="G142" s="123">
        <v>1577</v>
      </c>
      <c r="H142" s="274">
        <f t="shared" si="38"/>
        <v>1709.4680000000001</v>
      </c>
      <c r="I142" s="304">
        <f t="shared" si="39"/>
        <v>1709</v>
      </c>
      <c r="L142" s="197"/>
    </row>
    <row r="143" spans="1:12" s="83" customFormat="1" outlineLevel="1" x14ac:dyDescent="0.2">
      <c r="A143" s="209" t="s">
        <v>158</v>
      </c>
      <c r="B143" s="70" t="s">
        <v>1121</v>
      </c>
      <c r="C143" s="93" t="s">
        <v>549</v>
      </c>
      <c r="D143" s="118">
        <f t="shared" si="35"/>
        <v>499.16666666666663</v>
      </c>
      <c r="E143" s="118">
        <f t="shared" si="36"/>
        <v>99.833333333333343</v>
      </c>
      <c r="F143" s="118">
        <f t="shared" si="37"/>
        <v>599</v>
      </c>
      <c r="G143" s="123">
        <v>553</v>
      </c>
      <c r="H143" s="274">
        <f t="shared" si="38"/>
        <v>599.452</v>
      </c>
      <c r="I143" s="304">
        <f t="shared" si="39"/>
        <v>599</v>
      </c>
      <c r="L143" s="197"/>
    </row>
    <row r="144" spans="1:12" s="83" customFormat="1" outlineLevel="1" x14ac:dyDescent="0.2">
      <c r="A144" s="209" t="s">
        <v>165</v>
      </c>
      <c r="B144" s="70" t="s">
        <v>1122</v>
      </c>
      <c r="C144" s="93" t="s">
        <v>549</v>
      </c>
      <c r="D144" s="118">
        <f t="shared" si="35"/>
        <v>427.5</v>
      </c>
      <c r="E144" s="118">
        <f t="shared" si="36"/>
        <v>85.5</v>
      </c>
      <c r="F144" s="118">
        <f t="shared" si="37"/>
        <v>513</v>
      </c>
      <c r="G144" s="123">
        <v>473</v>
      </c>
      <c r="H144" s="274">
        <f t="shared" si="38"/>
        <v>512.73200000000008</v>
      </c>
      <c r="I144" s="304">
        <f t="shared" si="39"/>
        <v>513</v>
      </c>
      <c r="L144" s="197"/>
    </row>
    <row r="145" spans="1:12" s="83" customFormat="1" outlineLevel="1" x14ac:dyDescent="0.2">
      <c r="A145" s="209" t="s">
        <v>166</v>
      </c>
      <c r="B145" s="70" t="s">
        <v>1123</v>
      </c>
      <c r="C145" s="93" t="s">
        <v>549</v>
      </c>
      <c r="D145" s="118">
        <f t="shared" si="35"/>
        <v>2708.333333333333</v>
      </c>
      <c r="E145" s="118">
        <f t="shared" si="36"/>
        <v>541.66666666666674</v>
      </c>
      <c r="F145" s="118">
        <f t="shared" si="37"/>
        <v>3250</v>
      </c>
      <c r="G145" s="123">
        <v>2998</v>
      </c>
      <c r="H145" s="274">
        <f t="shared" si="38"/>
        <v>3249.8320000000003</v>
      </c>
      <c r="I145" s="304">
        <f t="shared" si="39"/>
        <v>3250</v>
      </c>
      <c r="L145" s="197"/>
    </row>
    <row r="146" spans="1:12" s="83" customFormat="1" outlineLevel="1" x14ac:dyDescent="0.2">
      <c r="A146" s="209" t="s">
        <v>167</v>
      </c>
      <c r="B146" s="70" t="s">
        <v>1124</v>
      </c>
      <c r="C146" s="93" t="s">
        <v>549</v>
      </c>
      <c r="D146" s="118">
        <f t="shared" si="35"/>
        <v>499.16666666666663</v>
      </c>
      <c r="E146" s="118">
        <f t="shared" si="36"/>
        <v>99.833333333333343</v>
      </c>
      <c r="F146" s="118">
        <f t="shared" si="37"/>
        <v>599</v>
      </c>
      <c r="G146" s="123">
        <v>553</v>
      </c>
      <c r="H146" s="274">
        <f t="shared" si="38"/>
        <v>599.452</v>
      </c>
      <c r="I146" s="304">
        <f t="shared" si="39"/>
        <v>599</v>
      </c>
      <c r="L146" s="197"/>
    </row>
    <row r="147" spans="1:12" s="83" customFormat="1" ht="18.75" x14ac:dyDescent="0.2">
      <c r="A147" s="407" t="s">
        <v>2029</v>
      </c>
      <c r="B147" s="452"/>
      <c r="C147" s="452"/>
      <c r="D147" s="452"/>
      <c r="E147" s="452"/>
      <c r="F147" s="452"/>
      <c r="G147" s="409"/>
      <c r="H147" s="309"/>
      <c r="I147" s="309"/>
      <c r="L147" s="197"/>
    </row>
    <row r="148" spans="1:12" s="83" customFormat="1" outlineLevel="1" x14ac:dyDescent="0.2">
      <c r="A148" s="207" t="s">
        <v>163</v>
      </c>
      <c r="B148" s="70" t="s">
        <v>1125</v>
      </c>
      <c r="C148" s="93" t="s">
        <v>549</v>
      </c>
      <c r="D148" s="118">
        <f>F148-E148</f>
        <v>327.5</v>
      </c>
      <c r="E148" s="118">
        <f>F148/1.2*0.2</f>
        <v>65.5</v>
      </c>
      <c r="F148" s="118">
        <f>I148</f>
        <v>393</v>
      </c>
      <c r="G148" s="123">
        <v>363</v>
      </c>
      <c r="H148" s="274">
        <f>G148*$H$6</f>
        <v>393.49200000000002</v>
      </c>
      <c r="I148" s="304">
        <f>ROUND(H148,0)</f>
        <v>393</v>
      </c>
      <c r="L148" s="197"/>
    </row>
    <row r="149" spans="1:12" s="83" customFormat="1" outlineLevel="1" x14ac:dyDescent="0.2">
      <c r="A149" s="207" t="s">
        <v>188</v>
      </c>
      <c r="B149" s="70" t="s">
        <v>1126</v>
      </c>
      <c r="C149" s="93" t="s">
        <v>549</v>
      </c>
      <c r="D149" s="118">
        <f t="shared" ref="D149:D192" si="40">F149-E149</f>
        <v>327.5</v>
      </c>
      <c r="E149" s="118">
        <f t="shared" ref="E149:E192" si="41">F149/1.2*0.2</f>
        <v>65.5</v>
      </c>
      <c r="F149" s="118">
        <f t="shared" ref="F149:F192" si="42">I149</f>
        <v>393</v>
      </c>
      <c r="G149" s="123">
        <v>363</v>
      </c>
      <c r="H149" s="274">
        <f t="shared" ref="H149:H192" si="43">G149*$H$6</f>
        <v>393.49200000000002</v>
      </c>
      <c r="I149" s="304">
        <f t="shared" ref="I149:I192" si="44">ROUND(H149,0)</f>
        <v>393</v>
      </c>
      <c r="L149" s="197"/>
    </row>
    <row r="150" spans="1:12" s="83" customFormat="1" outlineLevel="1" x14ac:dyDescent="0.2">
      <c r="A150" s="209" t="s">
        <v>189</v>
      </c>
      <c r="B150" s="70" t="s">
        <v>1127</v>
      </c>
      <c r="C150" s="93" t="s">
        <v>549</v>
      </c>
      <c r="D150" s="118">
        <f t="shared" si="40"/>
        <v>327.5</v>
      </c>
      <c r="E150" s="118">
        <f t="shared" si="41"/>
        <v>65.5</v>
      </c>
      <c r="F150" s="118">
        <f t="shared" si="42"/>
        <v>393</v>
      </c>
      <c r="G150" s="123">
        <v>363</v>
      </c>
      <c r="H150" s="274">
        <f t="shared" si="43"/>
        <v>393.49200000000002</v>
      </c>
      <c r="I150" s="304">
        <f t="shared" si="44"/>
        <v>393</v>
      </c>
      <c r="L150" s="197"/>
    </row>
    <row r="151" spans="1:12" s="83" customFormat="1" ht="31.5" outlineLevel="1" x14ac:dyDescent="0.2">
      <c r="A151" s="209" t="s">
        <v>190</v>
      </c>
      <c r="B151" s="70" t="s">
        <v>1128</v>
      </c>
      <c r="C151" s="93" t="s">
        <v>549</v>
      </c>
      <c r="D151" s="118">
        <f t="shared" si="40"/>
        <v>327.5</v>
      </c>
      <c r="E151" s="118">
        <f t="shared" si="41"/>
        <v>65.5</v>
      </c>
      <c r="F151" s="118">
        <f t="shared" si="42"/>
        <v>393</v>
      </c>
      <c r="G151" s="123">
        <v>363</v>
      </c>
      <c r="H151" s="274">
        <f t="shared" si="43"/>
        <v>393.49200000000002</v>
      </c>
      <c r="I151" s="304">
        <f t="shared" si="44"/>
        <v>393</v>
      </c>
      <c r="L151" s="197"/>
    </row>
    <row r="152" spans="1:12" s="83" customFormat="1" outlineLevel="1" x14ac:dyDescent="0.2">
      <c r="A152" s="209" t="s">
        <v>191</v>
      </c>
      <c r="B152" s="70" t="s">
        <v>1129</v>
      </c>
      <c r="C152" s="93" t="s">
        <v>549</v>
      </c>
      <c r="D152" s="118">
        <f t="shared" si="40"/>
        <v>327.5</v>
      </c>
      <c r="E152" s="118">
        <f t="shared" si="41"/>
        <v>65.5</v>
      </c>
      <c r="F152" s="118">
        <f t="shared" si="42"/>
        <v>393</v>
      </c>
      <c r="G152" s="123">
        <v>363</v>
      </c>
      <c r="H152" s="274">
        <f t="shared" si="43"/>
        <v>393.49200000000002</v>
      </c>
      <c r="I152" s="304">
        <f t="shared" si="44"/>
        <v>393</v>
      </c>
      <c r="L152" s="197"/>
    </row>
    <row r="153" spans="1:12" s="83" customFormat="1" outlineLevel="1" x14ac:dyDescent="0.2">
      <c r="A153" s="209" t="s">
        <v>192</v>
      </c>
      <c r="B153" s="70" t="s">
        <v>1130</v>
      </c>
      <c r="C153" s="93" t="s">
        <v>549</v>
      </c>
      <c r="D153" s="118">
        <f t="shared" si="40"/>
        <v>327.5</v>
      </c>
      <c r="E153" s="118">
        <f t="shared" si="41"/>
        <v>65.5</v>
      </c>
      <c r="F153" s="118">
        <f t="shared" si="42"/>
        <v>393</v>
      </c>
      <c r="G153" s="123">
        <v>363</v>
      </c>
      <c r="H153" s="274">
        <f t="shared" si="43"/>
        <v>393.49200000000002</v>
      </c>
      <c r="I153" s="304">
        <f t="shared" si="44"/>
        <v>393</v>
      </c>
      <c r="L153" s="197"/>
    </row>
    <row r="154" spans="1:12" s="83" customFormat="1" outlineLevel="1" x14ac:dyDescent="0.2">
      <c r="A154" s="209" t="s">
        <v>193</v>
      </c>
      <c r="B154" s="70" t="s">
        <v>1131</v>
      </c>
      <c r="C154" s="93" t="s">
        <v>549</v>
      </c>
      <c r="D154" s="118">
        <f t="shared" si="40"/>
        <v>327.5</v>
      </c>
      <c r="E154" s="118">
        <f t="shared" si="41"/>
        <v>65.5</v>
      </c>
      <c r="F154" s="118">
        <f t="shared" si="42"/>
        <v>393</v>
      </c>
      <c r="G154" s="123">
        <v>363</v>
      </c>
      <c r="H154" s="274">
        <f t="shared" si="43"/>
        <v>393.49200000000002</v>
      </c>
      <c r="I154" s="304">
        <f t="shared" si="44"/>
        <v>393</v>
      </c>
      <c r="L154" s="197"/>
    </row>
    <row r="155" spans="1:12" s="83" customFormat="1" outlineLevel="1" x14ac:dyDescent="0.2">
      <c r="A155" s="209" t="s">
        <v>194</v>
      </c>
      <c r="B155" s="70" t="s">
        <v>1132</v>
      </c>
      <c r="C155" s="93" t="s">
        <v>549</v>
      </c>
      <c r="D155" s="118">
        <f t="shared" si="40"/>
        <v>327.5</v>
      </c>
      <c r="E155" s="118">
        <f t="shared" si="41"/>
        <v>65.5</v>
      </c>
      <c r="F155" s="118">
        <f t="shared" si="42"/>
        <v>393</v>
      </c>
      <c r="G155" s="123">
        <v>363</v>
      </c>
      <c r="H155" s="274">
        <f t="shared" si="43"/>
        <v>393.49200000000002</v>
      </c>
      <c r="I155" s="304">
        <f t="shared" si="44"/>
        <v>393</v>
      </c>
      <c r="L155" s="197"/>
    </row>
    <row r="156" spans="1:12" s="83" customFormat="1" outlineLevel="1" x14ac:dyDescent="0.2">
      <c r="A156" s="209" t="s">
        <v>195</v>
      </c>
      <c r="B156" s="70" t="s">
        <v>1133</v>
      </c>
      <c r="C156" s="93" t="s">
        <v>549</v>
      </c>
      <c r="D156" s="118">
        <f t="shared" si="40"/>
        <v>327.5</v>
      </c>
      <c r="E156" s="118">
        <f t="shared" si="41"/>
        <v>65.5</v>
      </c>
      <c r="F156" s="118">
        <f t="shared" si="42"/>
        <v>393</v>
      </c>
      <c r="G156" s="123">
        <v>363</v>
      </c>
      <c r="H156" s="274">
        <f t="shared" si="43"/>
        <v>393.49200000000002</v>
      </c>
      <c r="I156" s="304">
        <f t="shared" si="44"/>
        <v>393</v>
      </c>
      <c r="L156" s="197"/>
    </row>
    <row r="157" spans="1:12" s="83" customFormat="1" outlineLevel="1" x14ac:dyDescent="0.2">
      <c r="A157" s="209" t="s">
        <v>196</v>
      </c>
      <c r="B157" s="70" t="s">
        <v>1134</v>
      </c>
      <c r="C157" s="93" t="s">
        <v>549</v>
      </c>
      <c r="D157" s="118">
        <f t="shared" si="40"/>
        <v>327.5</v>
      </c>
      <c r="E157" s="118">
        <f t="shared" si="41"/>
        <v>65.5</v>
      </c>
      <c r="F157" s="118">
        <f t="shared" si="42"/>
        <v>393</v>
      </c>
      <c r="G157" s="123">
        <v>363</v>
      </c>
      <c r="H157" s="274">
        <f t="shared" si="43"/>
        <v>393.49200000000002</v>
      </c>
      <c r="I157" s="304">
        <f t="shared" si="44"/>
        <v>393</v>
      </c>
      <c r="L157" s="197"/>
    </row>
    <row r="158" spans="1:12" s="83" customFormat="1" outlineLevel="1" x14ac:dyDescent="0.2">
      <c r="A158" s="209" t="s">
        <v>197</v>
      </c>
      <c r="B158" s="70" t="s">
        <v>1135</v>
      </c>
      <c r="C158" s="93" t="s">
        <v>549</v>
      </c>
      <c r="D158" s="118">
        <f t="shared" si="40"/>
        <v>327.5</v>
      </c>
      <c r="E158" s="118">
        <f t="shared" si="41"/>
        <v>65.5</v>
      </c>
      <c r="F158" s="118">
        <f t="shared" si="42"/>
        <v>393</v>
      </c>
      <c r="G158" s="123">
        <v>363</v>
      </c>
      <c r="H158" s="274">
        <f t="shared" si="43"/>
        <v>393.49200000000002</v>
      </c>
      <c r="I158" s="304">
        <f t="shared" si="44"/>
        <v>393</v>
      </c>
      <c r="L158" s="197"/>
    </row>
    <row r="159" spans="1:12" s="83" customFormat="1" outlineLevel="1" x14ac:dyDescent="0.2">
      <c r="A159" s="209" t="s">
        <v>198</v>
      </c>
      <c r="B159" s="70" t="s">
        <v>1136</v>
      </c>
      <c r="C159" s="93" t="s">
        <v>549</v>
      </c>
      <c r="D159" s="118">
        <f t="shared" si="40"/>
        <v>327.5</v>
      </c>
      <c r="E159" s="118">
        <f t="shared" si="41"/>
        <v>65.5</v>
      </c>
      <c r="F159" s="118">
        <f t="shared" si="42"/>
        <v>393</v>
      </c>
      <c r="G159" s="123">
        <v>363</v>
      </c>
      <c r="H159" s="274">
        <f t="shared" si="43"/>
        <v>393.49200000000002</v>
      </c>
      <c r="I159" s="304">
        <f t="shared" si="44"/>
        <v>393</v>
      </c>
      <c r="L159" s="197"/>
    </row>
    <row r="160" spans="1:12" s="83" customFormat="1" outlineLevel="1" x14ac:dyDescent="0.2">
      <c r="A160" s="209" t="s">
        <v>199</v>
      </c>
      <c r="B160" s="70" t="s">
        <v>1137</v>
      </c>
      <c r="C160" s="93" t="s">
        <v>549</v>
      </c>
      <c r="D160" s="118">
        <f t="shared" si="40"/>
        <v>327.5</v>
      </c>
      <c r="E160" s="118">
        <f t="shared" si="41"/>
        <v>65.5</v>
      </c>
      <c r="F160" s="118">
        <f t="shared" si="42"/>
        <v>393</v>
      </c>
      <c r="G160" s="123">
        <v>363</v>
      </c>
      <c r="H160" s="274">
        <f t="shared" si="43"/>
        <v>393.49200000000002</v>
      </c>
      <c r="I160" s="304">
        <f t="shared" si="44"/>
        <v>393</v>
      </c>
      <c r="L160" s="197"/>
    </row>
    <row r="161" spans="1:12" s="83" customFormat="1" outlineLevel="1" x14ac:dyDescent="0.2">
      <c r="A161" s="209" t="s">
        <v>200</v>
      </c>
      <c r="B161" s="70" t="s">
        <v>1138</v>
      </c>
      <c r="C161" s="93" t="s">
        <v>549</v>
      </c>
      <c r="D161" s="118">
        <f t="shared" si="40"/>
        <v>327.5</v>
      </c>
      <c r="E161" s="118">
        <f t="shared" si="41"/>
        <v>65.5</v>
      </c>
      <c r="F161" s="118">
        <f t="shared" si="42"/>
        <v>393</v>
      </c>
      <c r="G161" s="123">
        <v>363</v>
      </c>
      <c r="H161" s="274">
        <f t="shared" si="43"/>
        <v>393.49200000000002</v>
      </c>
      <c r="I161" s="304">
        <f t="shared" si="44"/>
        <v>393</v>
      </c>
      <c r="L161" s="197"/>
    </row>
    <row r="162" spans="1:12" s="83" customFormat="1" outlineLevel="1" x14ac:dyDescent="0.2">
      <c r="A162" s="209" t="s">
        <v>201</v>
      </c>
      <c r="B162" s="70" t="s">
        <v>1139</v>
      </c>
      <c r="C162" s="93" t="s">
        <v>549</v>
      </c>
      <c r="D162" s="118">
        <f t="shared" si="40"/>
        <v>327.5</v>
      </c>
      <c r="E162" s="118">
        <f t="shared" si="41"/>
        <v>65.5</v>
      </c>
      <c r="F162" s="118">
        <f t="shared" si="42"/>
        <v>393</v>
      </c>
      <c r="G162" s="123">
        <v>363</v>
      </c>
      <c r="H162" s="274">
        <f t="shared" si="43"/>
        <v>393.49200000000002</v>
      </c>
      <c r="I162" s="304">
        <f t="shared" si="44"/>
        <v>393</v>
      </c>
      <c r="L162" s="197"/>
    </row>
    <row r="163" spans="1:12" s="83" customFormat="1" outlineLevel="1" x14ac:dyDescent="0.2">
      <c r="A163" s="209" t="s">
        <v>246</v>
      </c>
      <c r="B163" s="70" t="s">
        <v>1140</v>
      </c>
      <c r="C163" s="93" t="s">
        <v>549</v>
      </c>
      <c r="D163" s="118">
        <f t="shared" si="40"/>
        <v>327.5</v>
      </c>
      <c r="E163" s="118">
        <f t="shared" si="41"/>
        <v>65.5</v>
      </c>
      <c r="F163" s="118">
        <f t="shared" si="42"/>
        <v>393</v>
      </c>
      <c r="G163" s="123">
        <v>363</v>
      </c>
      <c r="H163" s="274">
        <f t="shared" si="43"/>
        <v>393.49200000000002</v>
      </c>
      <c r="I163" s="304">
        <f t="shared" si="44"/>
        <v>393</v>
      </c>
      <c r="L163" s="197"/>
    </row>
    <row r="164" spans="1:12" s="83" customFormat="1" outlineLevel="1" x14ac:dyDescent="0.2">
      <c r="A164" s="209" t="s">
        <v>252</v>
      </c>
      <c r="B164" s="70" t="s">
        <v>1141</v>
      </c>
      <c r="C164" s="93" t="s">
        <v>549</v>
      </c>
      <c r="D164" s="118">
        <f t="shared" si="40"/>
        <v>327.5</v>
      </c>
      <c r="E164" s="118">
        <f t="shared" si="41"/>
        <v>65.5</v>
      </c>
      <c r="F164" s="118">
        <f t="shared" si="42"/>
        <v>393</v>
      </c>
      <c r="G164" s="123">
        <v>363</v>
      </c>
      <c r="H164" s="274">
        <f t="shared" si="43"/>
        <v>393.49200000000002</v>
      </c>
      <c r="I164" s="304">
        <f t="shared" si="44"/>
        <v>393</v>
      </c>
      <c r="L164" s="197"/>
    </row>
    <row r="165" spans="1:12" s="83" customFormat="1" outlineLevel="1" x14ac:dyDescent="0.2">
      <c r="A165" s="209" t="s">
        <v>253</v>
      </c>
      <c r="B165" s="70" t="s">
        <v>1142</v>
      </c>
      <c r="C165" s="93" t="s">
        <v>549</v>
      </c>
      <c r="D165" s="118">
        <f t="shared" si="40"/>
        <v>327.5</v>
      </c>
      <c r="E165" s="118">
        <f t="shared" si="41"/>
        <v>65.5</v>
      </c>
      <c r="F165" s="118">
        <f t="shared" si="42"/>
        <v>393</v>
      </c>
      <c r="G165" s="123">
        <v>363</v>
      </c>
      <c r="H165" s="274">
        <f t="shared" si="43"/>
        <v>393.49200000000002</v>
      </c>
      <c r="I165" s="304">
        <f t="shared" si="44"/>
        <v>393</v>
      </c>
      <c r="L165" s="197"/>
    </row>
    <row r="166" spans="1:12" s="83" customFormat="1" outlineLevel="1" x14ac:dyDescent="0.2">
      <c r="A166" s="209" t="s">
        <v>254</v>
      </c>
      <c r="B166" s="70" t="s">
        <v>1143</v>
      </c>
      <c r="C166" s="93" t="s">
        <v>549</v>
      </c>
      <c r="D166" s="118">
        <f t="shared" si="40"/>
        <v>327.5</v>
      </c>
      <c r="E166" s="118">
        <f t="shared" si="41"/>
        <v>65.5</v>
      </c>
      <c r="F166" s="118">
        <f t="shared" si="42"/>
        <v>393</v>
      </c>
      <c r="G166" s="123">
        <v>363</v>
      </c>
      <c r="H166" s="274">
        <f t="shared" si="43"/>
        <v>393.49200000000002</v>
      </c>
      <c r="I166" s="304">
        <f t="shared" si="44"/>
        <v>393</v>
      </c>
      <c r="L166" s="197"/>
    </row>
    <row r="167" spans="1:12" s="83" customFormat="1" outlineLevel="1" x14ac:dyDescent="0.2">
      <c r="A167" s="209" t="s">
        <v>255</v>
      </c>
      <c r="B167" s="70" t="s">
        <v>1144</v>
      </c>
      <c r="C167" s="93" t="s">
        <v>549</v>
      </c>
      <c r="D167" s="118">
        <f t="shared" si="40"/>
        <v>327.5</v>
      </c>
      <c r="E167" s="118">
        <f t="shared" si="41"/>
        <v>65.5</v>
      </c>
      <c r="F167" s="118">
        <f t="shared" si="42"/>
        <v>393</v>
      </c>
      <c r="G167" s="123">
        <v>363</v>
      </c>
      <c r="H167" s="274">
        <f t="shared" si="43"/>
        <v>393.49200000000002</v>
      </c>
      <c r="I167" s="304">
        <f t="shared" si="44"/>
        <v>393</v>
      </c>
      <c r="L167" s="197"/>
    </row>
    <row r="168" spans="1:12" s="83" customFormat="1" outlineLevel="1" x14ac:dyDescent="0.2">
      <c r="A168" s="209" t="s">
        <v>256</v>
      </c>
      <c r="B168" s="70" t="s">
        <v>1145</v>
      </c>
      <c r="C168" s="93" t="s">
        <v>549</v>
      </c>
      <c r="D168" s="118">
        <f t="shared" si="40"/>
        <v>327.5</v>
      </c>
      <c r="E168" s="118">
        <f t="shared" si="41"/>
        <v>65.5</v>
      </c>
      <c r="F168" s="118">
        <f t="shared" si="42"/>
        <v>393</v>
      </c>
      <c r="G168" s="123">
        <v>363</v>
      </c>
      <c r="H168" s="274">
        <f t="shared" si="43"/>
        <v>393.49200000000002</v>
      </c>
      <c r="I168" s="304">
        <f t="shared" si="44"/>
        <v>393</v>
      </c>
      <c r="L168" s="197"/>
    </row>
    <row r="169" spans="1:12" s="83" customFormat="1" outlineLevel="1" x14ac:dyDescent="0.2">
      <c r="A169" s="209" t="s">
        <v>345</v>
      </c>
      <c r="B169" s="70" t="s">
        <v>1146</v>
      </c>
      <c r="C169" s="93" t="s">
        <v>549</v>
      </c>
      <c r="D169" s="118">
        <f t="shared" si="40"/>
        <v>327.5</v>
      </c>
      <c r="E169" s="118">
        <f t="shared" si="41"/>
        <v>65.5</v>
      </c>
      <c r="F169" s="118">
        <f t="shared" si="42"/>
        <v>393</v>
      </c>
      <c r="G169" s="123">
        <v>363</v>
      </c>
      <c r="H169" s="274">
        <f t="shared" si="43"/>
        <v>393.49200000000002</v>
      </c>
      <c r="I169" s="304">
        <f t="shared" si="44"/>
        <v>393</v>
      </c>
      <c r="L169" s="197"/>
    </row>
    <row r="170" spans="1:12" s="83" customFormat="1" outlineLevel="1" x14ac:dyDescent="0.2">
      <c r="A170" s="209" t="s">
        <v>346</v>
      </c>
      <c r="B170" s="70" t="s">
        <v>1147</v>
      </c>
      <c r="C170" s="93" t="s">
        <v>549</v>
      </c>
      <c r="D170" s="118">
        <f t="shared" si="40"/>
        <v>327.5</v>
      </c>
      <c r="E170" s="118">
        <f t="shared" si="41"/>
        <v>65.5</v>
      </c>
      <c r="F170" s="118">
        <f t="shared" si="42"/>
        <v>393</v>
      </c>
      <c r="G170" s="123">
        <v>363</v>
      </c>
      <c r="H170" s="274">
        <f t="shared" si="43"/>
        <v>393.49200000000002</v>
      </c>
      <c r="I170" s="304">
        <f t="shared" si="44"/>
        <v>393</v>
      </c>
      <c r="L170" s="197"/>
    </row>
    <row r="171" spans="1:12" s="83" customFormat="1" outlineLevel="1" x14ac:dyDescent="0.2">
      <c r="A171" s="209" t="s">
        <v>347</v>
      </c>
      <c r="B171" s="70" t="s">
        <v>1148</v>
      </c>
      <c r="C171" s="93" t="s">
        <v>549</v>
      </c>
      <c r="D171" s="118">
        <f t="shared" si="40"/>
        <v>327.5</v>
      </c>
      <c r="E171" s="118">
        <f t="shared" si="41"/>
        <v>65.5</v>
      </c>
      <c r="F171" s="118">
        <f t="shared" si="42"/>
        <v>393</v>
      </c>
      <c r="G171" s="123">
        <v>363</v>
      </c>
      <c r="H171" s="274">
        <f t="shared" si="43"/>
        <v>393.49200000000002</v>
      </c>
      <c r="I171" s="304">
        <f t="shared" si="44"/>
        <v>393</v>
      </c>
      <c r="L171" s="197"/>
    </row>
    <row r="172" spans="1:12" s="83" customFormat="1" outlineLevel="1" x14ac:dyDescent="0.2">
      <c r="A172" s="209" t="s">
        <v>348</v>
      </c>
      <c r="B172" s="70" t="s">
        <v>1149</v>
      </c>
      <c r="C172" s="93" t="s">
        <v>549</v>
      </c>
      <c r="D172" s="118">
        <f t="shared" si="40"/>
        <v>327.5</v>
      </c>
      <c r="E172" s="118">
        <f t="shared" si="41"/>
        <v>65.5</v>
      </c>
      <c r="F172" s="118">
        <f t="shared" si="42"/>
        <v>393</v>
      </c>
      <c r="G172" s="123">
        <v>363</v>
      </c>
      <c r="H172" s="274">
        <f t="shared" si="43"/>
        <v>393.49200000000002</v>
      </c>
      <c r="I172" s="304">
        <f t="shared" si="44"/>
        <v>393</v>
      </c>
      <c r="L172" s="197"/>
    </row>
    <row r="173" spans="1:12" s="83" customFormat="1" outlineLevel="1" x14ac:dyDescent="0.2">
      <c r="A173" s="209" t="s">
        <v>349</v>
      </c>
      <c r="B173" s="70" t="s">
        <v>1150</v>
      </c>
      <c r="C173" s="93" t="s">
        <v>549</v>
      </c>
      <c r="D173" s="118">
        <f t="shared" si="40"/>
        <v>327.5</v>
      </c>
      <c r="E173" s="118">
        <f t="shared" si="41"/>
        <v>65.5</v>
      </c>
      <c r="F173" s="118">
        <f t="shared" si="42"/>
        <v>393</v>
      </c>
      <c r="G173" s="123">
        <v>363</v>
      </c>
      <c r="H173" s="274">
        <f t="shared" si="43"/>
        <v>393.49200000000002</v>
      </c>
      <c r="I173" s="304">
        <f t="shared" si="44"/>
        <v>393</v>
      </c>
      <c r="L173" s="197"/>
    </row>
    <row r="174" spans="1:12" s="83" customFormat="1" outlineLevel="1" x14ac:dyDescent="0.2">
      <c r="A174" s="209" t="s">
        <v>350</v>
      </c>
      <c r="B174" s="70" t="s">
        <v>1151</v>
      </c>
      <c r="C174" s="93" t="s">
        <v>549</v>
      </c>
      <c r="D174" s="118">
        <f t="shared" si="40"/>
        <v>327.5</v>
      </c>
      <c r="E174" s="118">
        <f t="shared" si="41"/>
        <v>65.5</v>
      </c>
      <c r="F174" s="118">
        <f t="shared" si="42"/>
        <v>393</v>
      </c>
      <c r="G174" s="123">
        <v>363</v>
      </c>
      <c r="H174" s="274">
        <f t="shared" si="43"/>
        <v>393.49200000000002</v>
      </c>
      <c r="I174" s="304">
        <f t="shared" si="44"/>
        <v>393</v>
      </c>
      <c r="L174" s="197"/>
    </row>
    <row r="175" spans="1:12" s="83" customFormat="1" outlineLevel="1" x14ac:dyDescent="0.2">
      <c r="A175" s="209" t="s">
        <v>351</v>
      </c>
      <c r="B175" s="70" t="s">
        <v>1152</v>
      </c>
      <c r="C175" s="93" t="s">
        <v>549</v>
      </c>
      <c r="D175" s="118">
        <f t="shared" si="40"/>
        <v>327.5</v>
      </c>
      <c r="E175" s="118">
        <f t="shared" si="41"/>
        <v>65.5</v>
      </c>
      <c r="F175" s="118">
        <f t="shared" si="42"/>
        <v>393</v>
      </c>
      <c r="G175" s="123">
        <v>363</v>
      </c>
      <c r="H175" s="274">
        <f t="shared" si="43"/>
        <v>393.49200000000002</v>
      </c>
      <c r="I175" s="304">
        <f t="shared" si="44"/>
        <v>393</v>
      </c>
      <c r="L175" s="197"/>
    </row>
    <row r="176" spans="1:12" s="83" customFormat="1" outlineLevel="1" x14ac:dyDescent="0.2">
      <c r="A176" s="209" t="s">
        <v>352</v>
      </c>
      <c r="B176" s="70" t="s">
        <v>1153</v>
      </c>
      <c r="C176" s="93" t="s">
        <v>549</v>
      </c>
      <c r="D176" s="118">
        <f t="shared" si="40"/>
        <v>327.5</v>
      </c>
      <c r="E176" s="118">
        <f t="shared" si="41"/>
        <v>65.5</v>
      </c>
      <c r="F176" s="118">
        <f t="shared" si="42"/>
        <v>393</v>
      </c>
      <c r="G176" s="123">
        <v>363</v>
      </c>
      <c r="H176" s="274">
        <f t="shared" si="43"/>
        <v>393.49200000000002</v>
      </c>
      <c r="I176" s="304">
        <f t="shared" si="44"/>
        <v>393</v>
      </c>
      <c r="L176" s="197"/>
    </row>
    <row r="177" spans="1:12" s="83" customFormat="1" outlineLevel="1" x14ac:dyDescent="0.2">
      <c r="A177" s="209" t="s">
        <v>353</v>
      </c>
      <c r="B177" s="70" t="s">
        <v>1154</v>
      </c>
      <c r="C177" s="93" t="s">
        <v>549</v>
      </c>
      <c r="D177" s="118">
        <f t="shared" si="40"/>
        <v>327.5</v>
      </c>
      <c r="E177" s="118">
        <f t="shared" si="41"/>
        <v>65.5</v>
      </c>
      <c r="F177" s="118">
        <f t="shared" si="42"/>
        <v>393</v>
      </c>
      <c r="G177" s="123">
        <v>363</v>
      </c>
      <c r="H177" s="274">
        <f t="shared" si="43"/>
        <v>393.49200000000002</v>
      </c>
      <c r="I177" s="304">
        <f t="shared" si="44"/>
        <v>393</v>
      </c>
      <c r="L177" s="197"/>
    </row>
    <row r="178" spans="1:12" s="83" customFormat="1" outlineLevel="1" x14ac:dyDescent="0.2">
      <c r="A178" s="209" t="s">
        <v>354</v>
      </c>
      <c r="B178" s="70" t="s">
        <v>1155</v>
      </c>
      <c r="C178" s="93" t="s">
        <v>549</v>
      </c>
      <c r="D178" s="118">
        <f t="shared" si="40"/>
        <v>327.5</v>
      </c>
      <c r="E178" s="118">
        <f t="shared" si="41"/>
        <v>65.5</v>
      </c>
      <c r="F178" s="118">
        <f t="shared" si="42"/>
        <v>393</v>
      </c>
      <c r="G178" s="123">
        <v>363</v>
      </c>
      <c r="H178" s="274">
        <f t="shared" si="43"/>
        <v>393.49200000000002</v>
      </c>
      <c r="I178" s="304">
        <f t="shared" si="44"/>
        <v>393</v>
      </c>
      <c r="L178" s="197"/>
    </row>
    <row r="179" spans="1:12" s="83" customFormat="1" outlineLevel="1" x14ac:dyDescent="0.2">
      <c r="A179" s="209" t="s">
        <v>2089</v>
      </c>
      <c r="B179" s="70" t="s">
        <v>1156</v>
      </c>
      <c r="C179" s="93" t="s">
        <v>549</v>
      </c>
      <c r="D179" s="118">
        <f t="shared" si="40"/>
        <v>327.5</v>
      </c>
      <c r="E179" s="118">
        <f t="shared" si="41"/>
        <v>65.5</v>
      </c>
      <c r="F179" s="118">
        <f t="shared" si="42"/>
        <v>393</v>
      </c>
      <c r="G179" s="123">
        <v>363</v>
      </c>
      <c r="H179" s="274">
        <f t="shared" si="43"/>
        <v>393.49200000000002</v>
      </c>
      <c r="I179" s="304">
        <f t="shared" si="44"/>
        <v>393</v>
      </c>
      <c r="L179" s="197"/>
    </row>
    <row r="180" spans="1:12" s="83" customFormat="1" outlineLevel="1" x14ac:dyDescent="0.2">
      <c r="A180" s="209" t="s">
        <v>2090</v>
      </c>
      <c r="B180" s="70" t="s">
        <v>1157</v>
      </c>
      <c r="C180" s="93" t="s">
        <v>549</v>
      </c>
      <c r="D180" s="118">
        <f t="shared" si="40"/>
        <v>327.5</v>
      </c>
      <c r="E180" s="118">
        <f t="shared" si="41"/>
        <v>65.5</v>
      </c>
      <c r="F180" s="118">
        <f t="shared" si="42"/>
        <v>393</v>
      </c>
      <c r="G180" s="123">
        <v>363</v>
      </c>
      <c r="H180" s="274">
        <f t="shared" si="43"/>
        <v>393.49200000000002</v>
      </c>
      <c r="I180" s="304">
        <f t="shared" si="44"/>
        <v>393</v>
      </c>
      <c r="L180" s="197"/>
    </row>
    <row r="181" spans="1:12" s="83" customFormat="1" outlineLevel="1" x14ac:dyDescent="0.2">
      <c r="A181" s="209" t="s">
        <v>2091</v>
      </c>
      <c r="B181" s="70" t="s">
        <v>1158</v>
      </c>
      <c r="C181" s="93" t="s">
        <v>549</v>
      </c>
      <c r="D181" s="118">
        <f t="shared" si="40"/>
        <v>327.5</v>
      </c>
      <c r="E181" s="118">
        <f t="shared" si="41"/>
        <v>65.5</v>
      </c>
      <c r="F181" s="118">
        <f t="shared" si="42"/>
        <v>393</v>
      </c>
      <c r="G181" s="123">
        <v>363</v>
      </c>
      <c r="H181" s="274">
        <f t="shared" si="43"/>
        <v>393.49200000000002</v>
      </c>
      <c r="I181" s="304">
        <f t="shared" si="44"/>
        <v>393</v>
      </c>
      <c r="L181" s="197"/>
    </row>
    <row r="182" spans="1:12" s="83" customFormat="1" outlineLevel="1" x14ac:dyDescent="0.2">
      <c r="A182" s="209" t="s">
        <v>2092</v>
      </c>
      <c r="B182" s="70" t="s">
        <v>1159</v>
      </c>
      <c r="C182" s="93" t="s">
        <v>549</v>
      </c>
      <c r="D182" s="118">
        <f t="shared" si="40"/>
        <v>327.5</v>
      </c>
      <c r="E182" s="118">
        <f t="shared" si="41"/>
        <v>65.5</v>
      </c>
      <c r="F182" s="118">
        <f t="shared" si="42"/>
        <v>393</v>
      </c>
      <c r="G182" s="123">
        <v>363</v>
      </c>
      <c r="H182" s="274">
        <f t="shared" si="43"/>
        <v>393.49200000000002</v>
      </c>
      <c r="I182" s="304">
        <f t="shared" si="44"/>
        <v>393</v>
      </c>
      <c r="L182" s="197"/>
    </row>
    <row r="183" spans="1:12" s="83" customFormat="1" outlineLevel="1" x14ac:dyDescent="0.2">
      <c r="A183" s="209" t="s">
        <v>2093</v>
      </c>
      <c r="B183" s="70" t="s">
        <v>1160</v>
      </c>
      <c r="C183" s="93" t="s">
        <v>549</v>
      </c>
      <c r="D183" s="118">
        <f t="shared" si="40"/>
        <v>327.5</v>
      </c>
      <c r="E183" s="118">
        <f t="shared" si="41"/>
        <v>65.5</v>
      </c>
      <c r="F183" s="118">
        <f t="shared" si="42"/>
        <v>393</v>
      </c>
      <c r="G183" s="123">
        <v>363</v>
      </c>
      <c r="H183" s="274">
        <f t="shared" si="43"/>
        <v>393.49200000000002</v>
      </c>
      <c r="I183" s="304">
        <f t="shared" si="44"/>
        <v>393</v>
      </c>
      <c r="L183" s="197"/>
    </row>
    <row r="184" spans="1:12" s="83" customFormat="1" outlineLevel="1" x14ac:dyDescent="0.2">
      <c r="A184" s="209" t="s">
        <v>2094</v>
      </c>
      <c r="B184" s="70" t="s">
        <v>1161</v>
      </c>
      <c r="C184" s="93" t="s">
        <v>549</v>
      </c>
      <c r="D184" s="118">
        <f t="shared" si="40"/>
        <v>327.5</v>
      </c>
      <c r="E184" s="118">
        <f t="shared" si="41"/>
        <v>65.5</v>
      </c>
      <c r="F184" s="118">
        <f t="shared" si="42"/>
        <v>393</v>
      </c>
      <c r="G184" s="123">
        <v>363</v>
      </c>
      <c r="H184" s="274">
        <f t="shared" si="43"/>
        <v>393.49200000000002</v>
      </c>
      <c r="I184" s="304">
        <f t="shared" si="44"/>
        <v>393</v>
      </c>
      <c r="L184" s="197"/>
    </row>
    <row r="185" spans="1:12" s="83" customFormat="1" outlineLevel="1" x14ac:dyDescent="0.2">
      <c r="A185" s="209" t="s">
        <v>2095</v>
      </c>
      <c r="B185" s="70" t="s">
        <v>1162</v>
      </c>
      <c r="C185" s="93" t="s">
        <v>549</v>
      </c>
      <c r="D185" s="118">
        <f t="shared" si="40"/>
        <v>327.5</v>
      </c>
      <c r="E185" s="118">
        <f t="shared" si="41"/>
        <v>65.5</v>
      </c>
      <c r="F185" s="118">
        <f t="shared" si="42"/>
        <v>393</v>
      </c>
      <c r="G185" s="123">
        <v>363</v>
      </c>
      <c r="H185" s="274">
        <f t="shared" si="43"/>
        <v>393.49200000000002</v>
      </c>
      <c r="I185" s="304">
        <f t="shared" si="44"/>
        <v>393</v>
      </c>
      <c r="L185" s="197"/>
    </row>
    <row r="186" spans="1:12" s="83" customFormat="1" outlineLevel="1" x14ac:dyDescent="0.2">
      <c r="A186" s="209" t="s">
        <v>2096</v>
      </c>
      <c r="B186" s="70" t="s">
        <v>1163</v>
      </c>
      <c r="C186" s="93" t="s">
        <v>549</v>
      </c>
      <c r="D186" s="118">
        <f t="shared" si="40"/>
        <v>327.5</v>
      </c>
      <c r="E186" s="118">
        <f t="shared" si="41"/>
        <v>65.5</v>
      </c>
      <c r="F186" s="118">
        <f t="shared" si="42"/>
        <v>393</v>
      </c>
      <c r="G186" s="123">
        <v>363</v>
      </c>
      <c r="H186" s="274">
        <f t="shared" si="43"/>
        <v>393.49200000000002</v>
      </c>
      <c r="I186" s="304">
        <f t="shared" si="44"/>
        <v>393</v>
      </c>
      <c r="L186" s="197"/>
    </row>
    <row r="187" spans="1:12" s="83" customFormat="1" outlineLevel="1" x14ac:dyDescent="0.2">
      <c r="A187" s="209" t="s">
        <v>2097</v>
      </c>
      <c r="B187" s="70" t="s">
        <v>1164</v>
      </c>
      <c r="C187" s="93" t="s">
        <v>549</v>
      </c>
      <c r="D187" s="118">
        <f t="shared" si="40"/>
        <v>327.5</v>
      </c>
      <c r="E187" s="118">
        <f t="shared" si="41"/>
        <v>65.5</v>
      </c>
      <c r="F187" s="118">
        <f t="shared" si="42"/>
        <v>393</v>
      </c>
      <c r="G187" s="123">
        <v>363</v>
      </c>
      <c r="H187" s="274">
        <f t="shared" si="43"/>
        <v>393.49200000000002</v>
      </c>
      <c r="I187" s="304">
        <f t="shared" si="44"/>
        <v>393</v>
      </c>
      <c r="L187" s="197"/>
    </row>
    <row r="188" spans="1:12" s="83" customFormat="1" outlineLevel="1" x14ac:dyDescent="0.2">
      <c r="A188" s="209" t="s">
        <v>2098</v>
      </c>
      <c r="B188" s="70" t="s">
        <v>1165</v>
      </c>
      <c r="C188" s="93" t="s">
        <v>549</v>
      </c>
      <c r="D188" s="118">
        <f t="shared" si="40"/>
        <v>327.5</v>
      </c>
      <c r="E188" s="118">
        <f t="shared" si="41"/>
        <v>65.5</v>
      </c>
      <c r="F188" s="118">
        <f t="shared" si="42"/>
        <v>393</v>
      </c>
      <c r="G188" s="123">
        <v>363</v>
      </c>
      <c r="H188" s="274">
        <f t="shared" si="43"/>
        <v>393.49200000000002</v>
      </c>
      <c r="I188" s="304">
        <f t="shared" si="44"/>
        <v>393</v>
      </c>
      <c r="L188" s="197"/>
    </row>
    <row r="189" spans="1:12" s="83" customFormat="1" outlineLevel="1" x14ac:dyDescent="0.2">
      <c r="A189" s="209" t="s">
        <v>2099</v>
      </c>
      <c r="B189" s="70" t="s">
        <v>1166</v>
      </c>
      <c r="C189" s="93" t="s">
        <v>549</v>
      </c>
      <c r="D189" s="118">
        <f t="shared" si="40"/>
        <v>327.5</v>
      </c>
      <c r="E189" s="118">
        <f t="shared" si="41"/>
        <v>65.5</v>
      </c>
      <c r="F189" s="118">
        <f t="shared" si="42"/>
        <v>393</v>
      </c>
      <c r="G189" s="123">
        <v>363</v>
      </c>
      <c r="H189" s="274">
        <f t="shared" si="43"/>
        <v>393.49200000000002</v>
      </c>
      <c r="I189" s="304">
        <f t="shared" si="44"/>
        <v>393</v>
      </c>
      <c r="L189" s="197"/>
    </row>
    <row r="190" spans="1:12" s="83" customFormat="1" outlineLevel="1" x14ac:dyDescent="0.2">
      <c r="A190" s="209" t="s">
        <v>2100</v>
      </c>
      <c r="B190" s="70" t="s">
        <v>1167</v>
      </c>
      <c r="C190" s="93" t="s">
        <v>549</v>
      </c>
      <c r="D190" s="118">
        <f t="shared" si="40"/>
        <v>327.5</v>
      </c>
      <c r="E190" s="118">
        <f t="shared" si="41"/>
        <v>65.5</v>
      </c>
      <c r="F190" s="118">
        <f t="shared" si="42"/>
        <v>393</v>
      </c>
      <c r="G190" s="123">
        <v>363</v>
      </c>
      <c r="H190" s="274">
        <f t="shared" si="43"/>
        <v>393.49200000000002</v>
      </c>
      <c r="I190" s="304">
        <f t="shared" si="44"/>
        <v>393</v>
      </c>
      <c r="L190" s="197"/>
    </row>
    <row r="191" spans="1:12" s="83" customFormat="1" outlineLevel="1" x14ac:dyDescent="0.2">
      <c r="A191" s="209" t="s">
        <v>2101</v>
      </c>
      <c r="B191" s="70" t="s">
        <v>1168</v>
      </c>
      <c r="C191" s="93" t="s">
        <v>549</v>
      </c>
      <c r="D191" s="118">
        <f t="shared" si="40"/>
        <v>327.5</v>
      </c>
      <c r="E191" s="118">
        <f t="shared" si="41"/>
        <v>65.5</v>
      </c>
      <c r="F191" s="118">
        <f t="shared" si="42"/>
        <v>393</v>
      </c>
      <c r="G191" s="123">
        <v>363</v>
      </c>
      <c r="H191" s="274">
        <f t="shared" si="43"/>
        <v>393.49200000000002</v>
      </c>
      <c r="I191" s="304">
        <f t="shared" si="44"/>
        <v>393</v>
      </c>
      <c r="L191" s="197"/>
    </row>
    <row r="192" spans="1:12" s="83" customFormat="1" outlineLevel="1" x14ac:dyDescent="0.2">
      <c r="A192" s="209" t="s">
        <v>2102</v>
      </c>
      <c r="B192" s="70" t="s">
        <v>1169</v>
      </c>
      <c r="C192" s="93" t="s">
        <v>549</v>
      </c>
      <c r="D192" s="118">
        <f t="shared" si="40"/>
        <v>327.5</v>
      </c>
      <c r="E192" s="118">
        <f t="shared" si="41"/>
        <v>65.5</v>
      </c>
      <c r="F192" s="118">
        <f t="shared" si="42"/>
        <v>393</v>
      </c>
      <c r="G192" s="123">
        <v>363</v>
      </c>
      <c r="H192" s="274">
        <f t="shared" si="43"/>
        <v>393.49200000000002</v>
      </c>
      <c r="I192" s="304">
        <f t="shared" si="44"/>
        <v>393</v>
      </c>
      <c r="L192" s="197"/>
    </row>
    <row r="193" spans="1:12" s="83" customFormat="1" ht="18.75" x14ac:dyDescent="0.2">
      <c r="A193" s="407" t="s">
        <v>2030</v>
      </c>
      <c r="B193" s="452"/>
      <c r="C193" s="452"/>
      <c r="D193" s="452"/>
      <c r="E193" s="452"/>
      <c r="F193" s="452"/>
      <c r="G193" s="409"/>
      <c r="H193" s="309"/>
      <c r="I193" s="309"/>
      <c r="L193" s="197"/>
    </row>
    <row r="194" spans="1:12" s="83" customFormat="1" outlineLevel="1" x14ac:dyDescent="0.2">
      <c r="A194" s="207" t="s">
        <v>148</v>
      </c>
      <c r="B194" s="70" t="s">
        <v>1170</v>
      </c>
      <c r="C194" s="91" t="s">
        <v>549</v>
      </c>
      <c r="D194" s="118">
        <f>F194-E194</f>
        <v>327.5</v>
      </c>
      <c r="E194" s="118">
        <f>F194/1.2*0.2</f>
        <v>65.5</v>
      </c>
      <c r="F194" s="118">
        <f>I194</f>
        <v>393</v>
      </c>
      <c r="G194" s="123">
        <v>363</v>
      </c>
      <c r="H194" s="274">
        <f>G194*$H$6</f>
        <v>393.49200000000002</v>
      </c>
      <c r="I194" s="304">
        <f>ROUND(H194,0)</f>
        <v>393</v>
      </c>
      <c r="L194" s="197"/>
    </row>
    <row r="195" spans="1:12" s="83" customFormat="1" ht="18.75" x14ac:dyDescent="0.2">
      <c r="A195" s="407" t="s">
        <v>2031</v>
      </c>
      <c r="B195" s="452"/>
      <c r="C195" s="452"/>
      <c r="D195" s="452"/>
      <c r="E195" s="452"/>
      <c r="F195" s="452"/>
      <c r="G195" s="409"/>
      <c r="H195" s="309"/>
      <c r="I195" s="309"/>
      <c r="L195" s="197"/>
    </row>
    <row r="196" spans="1:12" s="83" customFormat="1" ht="31.5" outlineLevel="1" x14ac:dyDescent="0.2">
      <c r="A196" s="207" t="s">
        <v>277</v>
      </c>
      <c r="B196" s="70" t="s">
        <v>1171</v>
      </c>
      <c r="C196" s="93" t="s">
        <v>549</v>
      </c>
      <c r="D196" s="118">
        <f>F196-E196</f>
        <v>1283.3333333333333</v>
      </c>
      <c r="E196" s="118">
        <f>F196/1.2*0.2</f>
        <v>256.66666666666669</v>
      </c>
      <c r="F196" s="118">
        <f>I196</f>
        <v>1540</v>
      </c>
      <c r="G196" s="123">
        <v>1421</v>
      </c>
      <c r="H196" s="274">
        <f>G196*$H$6</f>
        <v>1540.364</v>
      </c>
      <c r="I196" s="304">
        <f>ROUND(H196,0)</f>
        <v>1540</v>
      </c>
      <c r="L196" s="197"/>
    </row>
    <row r="197" spans="1:12" s="83" customFormat="1" outlineLevel="1" x14ac:dyDescent="0.2">
      <c r="A197" s="207" t="s">
        <v>278</v>
      </c>
      <c r="B197" s="70" t="s">
        <v>1172</v>
      </c>
      <c r="C197" s="93" t="s">
        <v>549</v>
      </c>
      <c r="D197" s="118">
        <f t="shared" ref="D197:D210" si="45">F197-E197</f>
        <v>1068.3333333333333</v>
      </c>
      <c r="E197" s="118">
        <f t="shared" ref="E197:E210" si="46">F197/1.2*0.2</f>
        <v>213.66666666666671</v>
      </c>
      <c r="F197" s="118">
        <f t="shared" ref="F197:F210" si="47">I197</f>
        <v>1282</v>
      </c>
      <c r="G197" s="123">
        <v>1183</v>
      </c>
      <c r="H197" s="274">
        <f t="shared" ref="H197:H210" si="48">G197*$H$6</f>
        <v>1282.3720000000001</v>
      </c>
      <c r="I197" s="304">
        <f t="shared" ref="I197:I210" si="49">ROUND(H197,0)</f>
        <v>1282</v>
      </c>
      <c r="L197" s="197"/>
    </row>
    <row r="198" spans="1:12" s="83" customFormat="1" outlineLevel="1" x14ac:dyDescent="0.2">
      <c r="A198" s="209" t="s">
        <v>279</v>
      </c>
      <c r="B198" s="70" t="s">
        <v>1173</v>
      </c>
      <c r="C198" s="93" t="s">
        <v>549</v>
      </c>
      <c r="D198" s="118">
        <f t="shared" si="45"/>
        <v>600</v>
      </c>
      <c r="E198" s="118">
        <f t="shared" si="46"/>
        <v>120</v>
      </c>
      <c r="F198" s="118">
        <f t="shared" si="47"/>
        <v>720</v>
      </c>
      <c r="G198" s="123">
        <v>664</v>
      </c>
      <c r="H198" s="274">
        <f t="shared" si="48"/>
        <v>719.77600000000007</v>
      </c>
      <c r="I198" s="304">
        <f t="shared" si="49"/>
        <v>720</v>
      </c>
      <c r="L198" s="197"/>
    </row>
    <row r="199" spans="1:12" s="83" customFormat="1" outlineLevel="1" x14ac:dyDescent="0.2">
      <c r="A199" s="209" t="s">
        <v>355</v>
      </c>
      <c r="B199" s="70" t="s">
        <v>1174</v>
      </c>
      <c r="C199" s="93" t="s">
        <v>549</v>
      </c>
      <c r="D199" s="118">
        <f t="shared" si="45"/>
        <v>927.5</v>
      </c>
      <c r="E199" s="118">
        <f t="shared" si="46"/>
        <v>185.5</v>
      </c>
      <c r="F199" s="118">
        <f t="shared" si="47"/>
        <v>1113</v>
      </c>
      <c r="G199" s="123">
        <v>1027</v>
      </c>
      <c r="H199" s="274">
        <f t="shared" si="48"/>
        <v>1113.268</v>
      </c>
      <c r="I199" s="304">
        <f t="shared" si="49"/>
        <v>1113</v>
      </c>
      <c r="L199" s="197"/>
    </row>
    <row r="200" spans="1:12" s="83" customFormat="1" outlineLevel="1" x14ac:dyDescent="0.2">
      <c r="A200" s="209" t="s">
        <v>356</v>
      </c>
      <c r="B200" s="70" t="s">
        <v>1175</v>
      </c>
      <c r="C200" s="93" t="s">
        <v>549</v>
      </c>
      <c r="D200" s="118">
        <f t="shared" si="45"/>
        <v>641.66666666666663</v>
      </c>
      <c r="E200" s="118">
        <f t="shared" si="46"/>
        <v>128.33333333333334</v>
      </c>
      <c r="F200" s="118">
        <f t="shared" si="47"/>
        <v>770</v>
      </c>
      <c r="G200" s="123">
        <v>710</v>
      </c>
      <c r="H200" s="274">
        <f t="shared" si="48"/>
        <v>769.6400000000001</v>
      </c>
      <c r="I200" s="304">
        <f t="shared" si="49"/>
        <v>770</v>
      </c>
      <c r="L200" s="197"/>
    </row>
    <row r="201" spans="1:12" s="83" customFormat="1" outlineLevel="1" x14ac:dyDescent="0.2">
      <c r="A201" s="209" t="s">
        <v>357</v>
      </c>
      <c r="B201" s="70" t="s">
        <v>1176</v>
      </c>
      <c r="C201" s="93" t="s">
        <v>549</v>
      </c>
      <c r="D201" s="118">
        <f t="shared" si="45"/>
        <v>641.66666666666663</v>
      </c>
      <c r="E201" s="118">
        <f t="shared" si="46"/>
        <v>128.33333333333334</v>
      </c>
      <c r="F201" s="118">
        <f t="shared" si="47"/>
        <v>770</v>
      </c>
      <c r="G201" s="123">
        <v>710</v>
      </c>
      <c r="H201" s="274">
        <f t="shared" si="48"/>
        <v>769.6400000000001</v>
      </c>
      <c r="I201" s="304">
        <f t="shared" si="49"/>
        <v>770</v>
      </c>
      <c r="L201" s="197"/>
    </row>
    <row r="202" spans="1:12" s="83" customFormat="1" ht="31.5" outlineLevel="1" x14ac:dyDescent="0.2">
      <c r="A202" s="209" t="s">
        <v>358</v>
      </c>
      <c r="B202" s="70" t="s">
        <v>1217</v>
      </c>
      <c r="C202" s="91" t="s">
        <v>549</v>
      </c>
      <c r="D202" s="118">
        <f t="shared" si="45"/>
        <v>680</v>
      </c>
      <c r="E202" s="118">
        <f t="shared" si="46"/>
        <v>136</v>
      </c>
      <c r="F202" s="118">
        <f t="shared" si="47"/>
        <v>816</v>
      </c>
      <c r="G202" s="123">
        <v>753</v>
      </c>
      <c r="H202" s="274">
        <f t="shared" si="48"/>
        <v>816.25200000000007</v>
      </c>
      <c r="I202" s="304">
        <f t="shared" si="49"/>
        <v>816</v>
      </c>
      <c r="L202" s="197"/>
    </row>
    <row r="203" spans="1:12" s="83" customFormat="1" ht="31.5" outlineLevel="1" x14ac:dyDescent="0.2">
      <c r="A203" s="209" t="s">
        <v>1975</v>
      </c>
      <c r="B203" s="70" t="s">
        <v>1177</v>
      </c>
      <c r="C203" s="93" t="s">
        <v>549</v>
      </c>
      <c r="D203" s="118">
        <f t="shared" si="45"/>
        <v>499.16666666666663</v>
      </c>
      <c r="E203" s="118">
        <f t="shared" si="46"/>
        <v>99.833333333333343</v>
      </c>
      <c r="F203" s="118">
        <f t="shared" si="47"/>
        <v>599</v>
      </c>
      <c r="G203" s="123">
        <v>553</v>
      </c>
      <c r="H203" s="274">
        <f t="shared" si="48"/>
        <v>599.452</v>
      </c>
      <c r="I203" s="304">
        <f t="shared" si="49"/>
        <v>599</v>
      </c>
      <c r="L203" s="197"/>
    </row>
    <row r="204" spans="1:12" s="83" customFormat="1" ht="31.5" outlineLevel="1" x14ac:dyDescent="0.2">
      <c r="A204" s="209" t="s">
        <v>1976</v>
      </c>
      <c r="B204" s="70" t="s">
        <v>1178</v>
      </c>
      <c r="C204" s="93" t="s">
        <v>549</v>
      </c>
      <c r="D204" s="118">
        <f t="shared" si="45"/>
        <v>570.83333333333326</v>
      </c>
      <c r="E204" s="118">
        <f t="shared" si="46"/>
        <v>114.16666666666669</v>
      </c>
      <c r="F204" s="118">
        <f t="shared" si="47"/>
        <v>685</v>
      </c>
      <c r="G204" s="123">
        <v>632</v>
      </c>
      <c r="H204" s="274">
        <f t="shared" si="48"/>
        <v>685.08800000000008</v>
      </c>
      <c r="I204" s="304">
        <f t="shared" si="49"/>
        <v>685</v>
      </c>
      <c r="L204" s="197"/>
    </row>
    <row r="205" spans="1:12" s="83" customFormat="1" ht="31.5" outlineLevel="1" x14ac:dyDescent="0.2">
      <c r="A205" s="209" t="s">
        <v>1977</v>
      </c>
      <c r="B205" s="70" t="s">
        <v>1179</v>
      </c>
      <c r="C205" s="93" t="s">
        <v>549</v>
      </c>
      <c r="D205" s="118">
        <f t="shared" si="45"/>
        <v>570.83333333333326</v>
      </c>
      <c r="E205" s="118">
        <f t="shared" si="46"/>
        <v>114.16666666666669</v>
      </c>
      <c r="F205" s="118">
        <f t="shared" si="47"/>
        <v>685</v>
      </c>
      <c r="G205" s="123">
        <v>632</v>
      </c>
      <c r="H205" s="274">
        <f t="shared" si="48"/>
        <v>685.08800000000008</v>
      </c>
      <c r="I205" s="304">
        <f t="shared" si="49"/>
        <v>685</v>
      </c>
      <c r="L205" s="197"/>
    </row>
    <row r="206" spans="1:12" s="83" customFormat="1" ht="31.5" outlineLevel="1" x14ac:dyDescent="0.2">
      <c r="A206" s="209" t="s">
        <v>1978</v>
      </c>
      <c r="B206" s="70" t="s">
        <v>1180</v>
      </c>
      <c r="C206" s="93" t="s">
        <v>549</v>
      </c>
      <c r="D206" s="118">
        <f t="shared" si="45"/>
        <v>499.16666666666663</v>
      </c>
      <c r="E206" s="118">
        <f t="shared" si="46"/>
        <v>99.833333333333343</v>
      </c>
      <c r="F206" s="118">
        <f t="shared" si="47"/>
        <v>599</v>
      </c>
      <c r="G206" s="123">
        <v>553</v>
      </c>
      <c r="H206" s="274">
        <f t="shared" si="48"/>
        <v>599.452</v>
      </c>
      <c r="I206" s="304">
        <f t="shared" si="49"/>
        <v>599</v>
      </c>
      <c r="L206" s="197"/>
    </row>
    <row r="207" spans="1:12" s="83" customFormat="1" ht="17.25" customHeight="1" outlineLevel="1" x14ac:dyDescent="0.2">
      <c r="A207" s="209" t="s">
        <v>2103</v>
      </c>
      <c r="B207" s="70" t="s">
        <v>1181</v>
      </c>
      <c r="C207" s="91" t="s">
        <v>549</v>
      </c>
      <c r="D207" s="118">
        <f t="shared" si="45"/>
        <v>340.83333333333331</v>
      </c>
      <c r="E207" s="118">
        <f t="shared" si="46"/>
        <v>68.166666666666671</v>
      </c>
      <c r="F207" s="118">
        <f t="shared" si="47"/>
        <v>409</v>
      </c>
      <c r="G207" s="123">
        <v>377</v>
      </c>
      <c r="H207" s="274">
        <f t="shared" si="48"/>
        <v>408.66800000000001</v>
      </c>
      <c r="I207" s="304">
        <f t="shared" si="49"/>
        <v>409</v>
      </c>
      <c r="L207" s="197"/>
    </row>
    <row r="208" spans="1:12" s="83" customFormat="1" ht="17.25" customHeight="1" outlineLevel="1" x14ac:dyDescent="0.2">
      <c r="A208" s="209" t="s">
        <v>2104</v>
      </c>
      <c r="B208" s="70" t="s">
        <v>1182</v>
      </c>
      <c r="C208" s="91" t="s">
        <v>549</v>
      </c>
      <c r="D208" s="118">
        <f t="shared" si="45"/>
        <v>340.83333333333331</v>
      </c>
      <c r="E208" s="118">
        <f t="shared" si="46"/>
        <v>68.166666666666671</v>
      </c>
      <c r="F208" s="118">
        <f t="shared" si="47"/>
        <v>409</v>
      </c>
      <c r="G208" s="123">
        <v>377</v>
      </c>
      <c r="H208" s="274">
        <f t="shared" si="48"/>
        <v>408.66800000000001</v>
      </c>
      <c r="I208" s="304">
        <f t="shared" si="49"/>
        <v>409</v>
      </c>
      <c r="L208" s="197"/>
    </row>
    <row r="209" spans="1:12" s="83" customFormat="1" ht="17.25" customHeight="1" outlineLevel="1" x14ac:dyDescent="0.2">
      <c r="A209" s="209" t="s">
        <v>2105</v>
      </c>
      <c r="B209" s="70" t="s">
        <v>1183</v>
      </c>
      <c r="C209" s="91" t="s">
        <v>549</v>
      </c>
      <c r="D209" s="118">
        <f t="shared" si="45"/>
        <v>340.83333333333331</v>
      </c>
      <c r="E209" s="118">
        <f t="shared" si="46"/>
        <v>68.166666666666671</v>
      </c>
      <c r="F209" s="118">
        <f t="shared" si="47"/>
        <v>409</v>
      </c>
      <c r="G209" s="123">
        <v>377</v>
      </c>
      <c r="H209" s="274">
        <f t="shared" si="48"/>
        <v>408.66800000000001</v>
      </c>
      <c r="I209" s="304">
        <f t="shared" si="49"/>
        <v>409</v>
      </c>
      <c r="L209" s="197"/>
    </row>
    <row r="210" spans="1:12" s="83" customFormat="1" ht="31.5" outlineLevel="1" x14ac:dyDescent="0.2">
      <c r="A210" s="209" t="s">
        <v>2106</v>
      </c>
      <c r="B210" s="70" t="s">
        <v>1184</v>
      </c>
      <c r="C210" s="91" t="s">
        <v>549</v>
      </c>
      <c r="D210" s="118">
        <f t="shared" si="45"/>
        <v>340.83333333333331</v>
      </c>
      <c r="E210" s="118">
        <f t="shared" si="46"/>
        <v>68.166666666666671</v>
      </c>
      <c r="F210" s="118">
        <f t="shared" si="47"/>
        <v>409</v>
      </c>
      <c r="G210" s="123">
        <v>377</v>
      </c>
      <c r="H210" s="274">
        <f t="shared" si="48"/>
        <v>408.66800000000001</v>
      </c>
      <c r="I210" s="304">
        <f t="shared" si="49"/>
        <v>409</v>
      </c>
      <c r="L210" s="197"/>
    </row>
    <row r="211" spans="1:12" s="83" customFormat="1" ht="18.75" x14ac:dyDescent="0.2">
      <c r="A211" s="407" t="s">
        <v>2032</v>
      </c>
      <c r="B211" s="452"/>
      <c r="C211" s="452"/>
      <c r="D211" s="452"/>
      <c r="E211" s="452"/>
      <c r="F211" s="452"/>
      <c r="G211" s="409"/>
      <c r="H211" s="309"/>
      <c r="I211" s="309"/>
      <c r="L211" s="197"/>
    </row>
    <row r="212" spans="1:12" s="83" customFormat="1" ht="15.75" customHeight="1" outlineLevel="1" x14ac:dyDescent="0.2">
      <c r="A212" s="207" t="s">
        <v>359</v>
      </c>
      <c r="B212" s="70" t="s">
        <v>1185</v>
      </c>
      <c r="C212" s="93" t="s">
        <v>549</v>
      </c>
      <c r="D212" s="118">
        <f>F212-E212</f>
        <v>1710.8333333333333</v>
      </c>
      <c r="E212" s="118">
        <f>F212/1.2*0.2</f>
        <v>342.16666666666674</v>
      </c>
      <c r="F212" s="118">
        <f>I212</f>
        <v>2053</v>
      </c>
      <c r="G212" s="123">
        <v>1894</v>
      </c>
      <c r="H212" s="274">
        <f>G212*$H$6</f>
        <v>2053.096</v>
      </c>
      <c r="I212" s="304">
        <f>ROUND(H212,0)</f>
        <v>2053</v>
      </c>
      <c r="L212" s="197"/>
    </row>
    <row r="213" spans="1:12" s="83" customFormat="1" ht="15.75" customHeight="1" outlineLevel="1" x14ac:dyDescent="0.2">
      <c r="A213" s="207" t="s">
        <v>360</v>
      </c>
      <c r="B213" s="70" t="s">
        <v>1186</v>
      </c>
      <c r="C213" s="93" t="s">
        <v>549</v>
      </c>
      <c r="D213" s="118">
        <f t="shared" ref="D213:D220" si="50">F213-E213</f>
        <v>1710.8333333333333</v>
      </c>
      <c r="E213" s="118">
        <f t="shared" ref="E213:E220" si="51">F213/1.2*0.2</f>
        <v>342.16666666666674</v>
      </c>
      <c r="F213" s="118">
        <f t="shared" ref="F213:F220" si="52">I213</f>
        <v>2053</v>
      </c>
      <c r="G213" s="123">
        <v>1894</v>
      </c>
      <c r="H213" s="274">
        <f t="shared" ref="H213:H220" si="53">G213*$H$6</f>
        <v>2053.096</v>
      </c>
      <c r="I213" s="304">
        <f t="shared" ref="I213:I220" si="54">ROUND(H213,0)</f>
        <v>2053</v>
      </c>
      <c r="L213" s="197"/>
    </row>
    <row r="214" spans="1:12" s="83" customFormat="1" ht="15.75" customHeight="1" outlineLevel="1" x14ac:dyDescent="0.2">
      <c r="A214" s="209" t="s">
        <v>361</v>
      </c>
      <c r="B214" s="70" t="s">
        <v>1187</v>
      </c>
      <c r="C214" s="93" t="s">
        <v>549</v>
      </c>
      <c r="D214" s="118">
        <f t="shared" si="50"/>
        <v>1710.8333333333333</v>
      </c>
      <c r="E214" s="118">
        <f t="shared" si="51"/>
        <v>342.16666666666674</v>
      </c>
      <c r="F214" s="118">
        <f t="shared" si="52"/>
        <v>2053</v>
      </c>
      <c r="G214" s="123">
        <v>1894</v>
      </c>
      <c r="H214" s="274">
        <f t="shared" si="53"/>
        <v>2053.096</v>
      </c>
      <c r="I214" s="304">
        <f t="shared" si="54"/>
        <v>2053</v>
      </c>
      <c r="L214" s="197"/>
    </row>
    <row r="215" spans="1:12" s="83" customFormat="1" ht="15.75" customHeight="1" outlineLevel="1" x14ac:dyDescent="0.2">
      <c r="A215" s="209" t="s">
        <v>384</v>
      </c>
      <c r="B215" s="70" t="s">
        <v>1188</v>
      </c>
      <c r="C215" s="93" t="s">
        <v>549</v>
      </c>
      <c r="D215" s="118">
        <f t="shared" si="50"/>
        <v>1710.8333333333333</v>
      </c>
      <c r="E215" s="118">
        <f t="shared" si="51"/>
        <v>342.16666666666674</v>
      </c>
      <c r="F215" s="118">
        <f t="shared" si="52"/>
        <v>2053</v>
      </c>
      <c r="G215" s="123">
        <v>1894</v>
      </c>
      <c r="H215" s="274">
        <f t="shared" si="53"/>
        <v>2053.096</v>
      </c>
      <c r="I215" s="304">
        <f t="shared" si="54"/>
        <v>2053</v>
      </c>
      <c r="L215" s="197"/>
    </row>
    <row r="216" spans="1:12" s="83" customFormat="1" ht="15.75" customHeight="1" outlineLevel="1" x14ac:dyDescent="0.2">
      <c r="A216" s="209" t="s">
        <v>385</v>
      </c>
      <c r="B216" s="70" t="s">
        <v>1189</v>
      </c>
      <c r="C216" s="93" t="s">
        <v>549</v>
      </c>
      <c r="D216" s="118">
        <f t="shared" si="50"/>
        <v>1710.8333333333333</v>
      </c>
      <c r="E216" s="118">
        <f t="shared" si="51"/>
        <v>342.16666666666674</v>
      </c>
      <c r="F216" s="118">
        <f t="shared" si="52"/>
        <v>2053</v>
      </c>
      <c r="G216" s="123">
        <v>1894</v>
      </c>
      <c r="H216" s="274">
        <f t="shared" si="53"/>
        <v>2053.096</v>
      </c>
      <c r="I216" s="304">
        <f t="shared" si="54"/>
        <v>2053</v>
      </c>
      <c r="L216" s="197"/>
    </row>
    <row r="217" spans="1:12" s="83" customFormat="1" ht="15.75" customHeight="1" outlineLevel="1" x14ac:dyDescent="0.2">
      <c r="A217" s="209" t="s">
        <v>404</v>
      </c>
      <c r="B217" s="70" t="s">
        <v>1190</v>
      </c>
      <c r="C217" s="93" t="s">
        <v>549</v>
      </c>
      <c r="D217" s="118">
        <f t="shared" si="50"/>
        <v>1710.8333333333333</v>
      </c>
      <c r="E217" s="118">
        <f t="shared" si="51"/>
        <v>342.16666666666674</v>
      </c>
      <c r="F217" s="118">
        <f t="shared" si="52"/>
        <v>2053</v>
      </c>
      <c r="G217" s="123">
        <v>1894</v>
      </c>
      <c r="H217" s="274">
        <f t="shared" si="53"/>
        <v>2053.096</v>
      </c>
      <c r="I217" s="304">
        <f t="shared" si="54"/>
        <v>2053</v>
      </c>
      <c r="L217" s="197"/>
    </row>
    <row r="218" spans="1:12" customFormat="1" ht="15.75" customHeight="1" outlineLevel="1" x14ac:dyDescent="0.2">
      <c r="A218" s="209" t="s">
        <v>430</v>
      </c>
      <c r="B218" s="70" t="s">
        <v>1191</v>
      </c>
      <c r="C218" s="93" t="s">
        <v>549</v>
      </c>
      <c r="D218" s="118">
        <f t="shared" si="50"/>
        <v>1710.8333333333333</v>
      </c>
      <c r="E218" s="118">
        <f t="shared" si="51"/>
        <v>342.16666666666674</v>
      </c>
      <c r="F218" s="118">
        <f t="shared" si="52"/>
        <v>2053</v>
      </c>
      <c r="G218" s="123">
        <v>1894</v>
      </c>
      <c r="H218" s="274">
        <f t="shared" si="53"/>
        <v>2053.096</v>
      </c>
      <c r="I218" s="304">
        <f t="shared" si="54"/>
        <v>2053</v>
      </c>
      <c r="L218" s="195"/>
    </row>
    <row r="219" spans="1:12" customFormat="1" ht="15.75" customHeight="1" outlineLevel="1" x14ac:dyDescent="0.2">
      <c r="A219" s="209" t="s">
        <v>2107</v>
      </c>
      <c r="B219" s="70" t="s">
        <v>1192</v>
      </c>
      <c r="C219" s="93" t="s">
        <v>549</v>
      </c>
      <c r="D219" s="118">
        <f t="shared" si="50"/>
        <v>1710.8333333333333</v>
      </c>
      <c r="E219" s="118">
        <f t="shared" si="51"/>
        <v>342.16666666666674</v>
      </c>
      <c r="F219" s="118">
        <f t="shared" si="52"/>
        <v>2053</v>
      </c>
      <c r="G219" s="123">
        <v>1894</v>
      </c>
      <c r="H219" s="274">
        <f t="shared" si="53"/>
        <v>2053.096</v>
      </c>
      <c r="I219" s="304">
        <f t="shared" si="54"/>
        <v>2053</v>
      </c>
      <c r="L219" s="195"/>
    </row>
    <row r="220" spans="1:12" customFormat="1" ht="15.75" customHeight="1" outlineLevel="1" x14ac:dyDescent="0.2">
      <c r="A220" s="209" t="s">
        <v>2160</v>
      </c>
      <c r="B220" s="70" t="s">
        <v>1193</v>
      </c>
      <c r="C220" s="93" t="s">
        <v>549</v>
      </c>
      <c r="D220" s="118">
        <f t="shared" si="50"/>
        <v>1424.1666666666665</v>
      </c>
      <c r="E220" s="118">
        <f t="shared" si="51"/>
        <v>284.83333333333337</v>
      </c>
      <c r="F220" s="118">
        <f t="shared" si="52"/>
        <v>1709</v>
      </c>
      <c r="G220" s="123">
        <v>1577</v>
      </c>
      <c r="H220" s="274">
        <f t="shared" si="53"/>
        <v>1709.4680000000001</v>
      </c>
      <c r="I220" s="304">
        <f t="shared" si="54"/>
        <v>1709</v>
      </c>
      <c r="L220" s="195"/>
    </row>
    <row r="221" spans="1:12" ht="6.75" customHeight="1" x14ac:dyDescent="0.25">
      <c r="A221" s="49"/>
      <c r="B221" s="205"/>
      <c r="C221" s="81"/>
      <c r="D221" s="81"/>
      <c r="E221" s="81"/>
      <c r="F221" s="81"/>
      <c r="G221" s="72"/>
      <c r="H221" s="72"/>
      <c r="I221" s="72"/>
    </row>
    <row r="222" spans="1:12" s="101" customFormat="1" ht="18.75" x14ac:dyDescent="0.25">
      <c r="A222" s="419" t="s">
        <v>1219</v>
      </c>
      <c r="B222" s="419"/>
      <c r="C222" s="419"/>
      <c r="D222" s="419"/>
      <c r="E222" s="419"/>
      <c r="F222" s="419"/>
      <c r="G222" s="419"/>
      <c r="H222" s="296"/>
      <c r="I222" s="296"/>
      <c r="L222" s="176"/>
    </row>
    <row r="223" spans="1:12" s="101" customFormat="1" ht="9" customHeight="1" x14ac:dyDescent="0.3">
      <c r="A223" s="102"/>
      <c r="B223" s="103"/>
      <c r="C223" s="103"/>
      <c r="D223" s="103"/>
      <c r="E223" s="103"/>
      <c r="F223" s="103"/>
      <c r="G223" s="124"/>
      <c r="H223" s="124"/>
      <c r="I223" s="124"/>
      <c r="L223" s="176"/>
    </row>
    <row r="224" spans="1:12" s="101" customFormat="1" ht="52.5" customHeight="1" x14ac:dyDescent="0.25">
      <c r="A224" s="420" t="s">
        <v>1224</v>
      </c>
      <c r="B224" s="420"/>
      <c r="C224" s="420"/>
      <c r="D224" s="420"/>
      <c r="E224" s="420"/>
      <c r="F224" s="420"/>
      <c r="G224" s="420"/>
      <c r="H224" s="297"/>
      <c r="I224" s="297"/>
      <c r="L224" s="176"/>
    </row>
    <row r="225" spans="1:13" s="101" customFormat="1" ht="6" customHeight="1" x14ac:dyDescent="0.3">
      <c r="A225" s="102"/>
      <c r="B225" s="103"/>
      <c r="C225" s="103"/>
      <c r="D225" s="103"/>
      <c r="E225" s="103"/>
      <c r="F225" s="103"/>
      <c r="G225" s="124"/>
      <c r="H225" s="124"/>
      <c r="I225" s="124"/>
      <c r="L225" s="176"/>
    </row>
    <row r="226" spans="1:13" s="101" customFormat="1" ht="52.5" customHeight="1" x14ac:dyDescent="0.25">
      <c r="A226" s="421" t="s">
        <v>1223</v>
      </c>
      <c r="B226" s="421"/>
      <c r="C226" s="421"/>
      <c r="D226" s="421"/>
      <c r="E226" s="421"/>
      <c r="F226" s="421"/>
      <c r="G226" s="421"/>
      <c r="H226" s="298"/>
      <c r="I226" s="298"/>
      <c r="L226" s="176"/>
    </row>
    <row r="227" spans="1:13" s="48" customFormat="1" ht="6" customHeight="1" x14ac:dyDescent="0.25">
      <c r="A227" s="416"/>
      <c r="B227" s="416"/>
      <c r="C227" s="416"/>
      <c r="D227" s="416"/>
      <c r="E227" s="416"/>
      <c r="F227" s="416"/>
      <c r="G227" s="416"/>
      <c r="H227" s="295"/>
      <c r="I227" s="295"/>
      <c r="L227" s="199"/>
    </row>
    <row r="228" spans="1:13" ht="35.25" customHeight="1" x14ac:dyDescent="0.25">
      <c r="A228" s="457"/>
      <c r="B228" s="457"/>
      <c r="C228" s="457"/>
      <c r="D228" s="457"/>
      <c r="E228" s="457"/>
      <c r="F228" s="457"/>
      <c r="G228" s="457"/>
      <c r="H228" s="298"/>
      <c r="I228" s="298"/>
    </row>
    <row r="229" spans="1:13" ht="6" customHeight="1" x14ac:dyDescent="0.25"/>
    <row r="230" spans="1:13" ht="18.75" x14ac:dyDescent="0.25">
      <c r="A230" s="7"/>
      <c r="B230" s="8"/>
      <c r="C230" s="82"/>
      <c r="D230" s="82"/>
      <c r="E230" s="82"/>
      <c r="F230" s="82"/>
      <c r="G230" s="126"/>
      <c r="H230" s="126"/>
      <c r="I230" s="126"/>
    </row>
    <row r="231" spans="1:13" ht="18.75" x14ac:dyDescent="0.25">
      <c r="A231" s="7"/>
      <c r="B231" s="8"/>
      <c r="C231" s="82"/>
      <c r="D231" s="82"/>
      <c r="E231" s="82"/>
      <c r="F231" s="82"/>
      <c r="G231" s="126"/>
      <c r="H231" s="126"/>
      <c r="I231" s="126"/>
    </row>
    <row r="232" spans="1:13" ht="18.75" x14ac:dyDescent="0.25">
      <c r="A232" s="7"/>
      <c r="B232" s="8"/>
      <c r="C232" s="82"/>
      <c r="D232" s="82"/>
      <c r="E232" s="82"/>
      <c r="F232" s="82"/>
      <c r="G232" s="126"/>
      <c r="H232" s="126"/>
      <c r="I232" s="126"/>
    </row>
    <row r="233" spans="1:13" ht="18.75" x14ac:dyDescent="0.25">
      <c r="A233" s="7"/>
      <c r="B233" s="8"/>
      <c r="C233" s="82"/>
      <c r="D233" s="82"/>
      <c r="E233" s="82"/>
      <c r="F233" s="82"/>
      <c r="G233" s="126"/>
      <c r="H233" s="126"/>
      <c r="I233" s="126"/>
    </row>
    <row r="234" spans="1:13" s="161" customFormat="1" ht="18.75" x14ac:dyDescent="0.25">
      <c r="A234" s="7"/>
      <c r="B234" s="8"/>
      <c r="C234" s="82"/>
      <c r="D234" s="82"/>
      <c r="E234" s="82"/>
      <c r="F234" s="82"/>
      <c r="G234" s="126"/>
      <c r="H234" s="126"/>
      <c r="I234" s="126"/>
      <c r="J234" s="1"/>
      <c r="K234" s="1"/>
      <c r="L234" s="171"/>
      <c r="M234" s="1"/>
    </row>
    <row r="235" spans="1:13" s="161" customFormat="1" ht="18.75" x14ac:dyDescent="0.25">
      <c r="A235" s="7"/>
      <c r="B235" s="8"/>
      <c r="C235" s="82"/>
      <c r="D235" s="82"/>
      <c r="E235" s="82"/>
      <c r="F235" s="82"/>
      <c r="G235" s="126"/>
      <c r="H235" s="126"/>
      <c r="I235" s="126"/>
      <c r="J235" s="1"/>
      <c r="K235" s="1"/>
      <c r="L235" s="171"/>
      <c r="M235" s="1"/>
    </row>
    <row r="236" spans="1:13" s="161" customFormat="1" ht="18.75" x14ac:dyDescent="0.25">
      <c r="A236" s="7"/>
      <c r="B236" s="8"/>
      <c r="C236" s="82"/>
      <c r="D236" s="82"/>
      <c r="E236" s="82"/>
      <c r="F236" s="82"/>
      <c r="G236" s="126"/>
      <c r="H236" s="126"/>
      <c r="I236" s="126"/>
      <c r="J236" s="1"/>
      <c r="K236" s="1"/>
      <c r="L236" s="171"/>
      <c r="M236" s="1"/>
    </row>
    <row r="237" spans="1:13" s="161" customFormat="1" ht="18.75" x14ac:dyDescent="0.25">
      <c r="A237" s="7"/>
      <c r="B237" s="8"/>
      <c r="C237" s="82"/>
      <c r="D237" s="82"/>
      <c r="E237" s="82"/>
      <c r="F237" s="82"/>
      <c r="G237" s="126"/>
      <c r="H237" s="126"/>
      <c r="I237" s="126"/>
      <c r="J237" s="1"/>
      <c r="K237" s="1"/>
      <c r="L237" s="171"/>
      <c r="M237" s="1"/>
    </row>
    <row r="238" spans="1:13" s="161" customFormat="1" ht="18.75" x14ac:dyDescent="0.25">
      <c r="A238" s="7"/>
      <c r="B238" s="8"/>
      <c r="C238" s="82"/>
      <c r="D238" s="82"/>
      <c r="E238" s="82"/>
      <c r="F238" s="82"/>
      <c r="G238" s="126"/>
      <c r="H238" s="126"/>
      <c r="I238" s="126"/>
      <c r="J238" s="1"/>
      <c r="K238" s="1"/>
      <c r="L238" s="171"/>
      <c r="M238" s="1"/>
    </row>
    <row r="239" spans="1:13" s="161" customFormat="1" ht="18.75" x14ac:dyDescent="0.25">
      <c r="A239" s="7"/>
      <c r="B239" s="8"/>
      <c r="C239" s="82"/>
      <c r="D239" s="82"/>
      <c r="E239" s="82"/>
      <c r="F239" s="82"/>
      <c r="G239" s="126"/>
      <c r="H239" s="126"/>
      <c r="I239" s="126"/>
      <c r="J239" s="1"/>
      <c r="K239" s="1"/>
      <c r="L239" s="171"/>
      <c r="M239" s="1"/>
    </row>
    <row r="240" spans="1:13" s="161" customFormat="1" ht="18.75" x14ac:dyDescent="0.25">
      <c r="A240" s="7"/>
      <c r="B240" s="8"/>
      <c r="C240" s="82"/>
      <c r="D240" s="82"/>
      <c r="E240" s="82"/>
      <c r="F240" s="82"/>
      <c r="G240" s="126"/>
      <c r="H240" s="126"/>
      <c r="I240" s="126"/>
      <c r="J240" s="1"/>
      <c r="K240" s="1"/>
      <c r="L240" s="171"/>
      <c r="M240" s="1"/>
    </row>
    <row r="241" spans="1:13" s="161" customFormat="1" ht="18.75" x14ac:dyDescent="0.25">
      <c r="A241" s="456"/>
      <c r="B241" s="456"/>
      <c r="C241" s="456"/>
      <c r="D241" s="456"/>
      <c r="E241" s="456"/>
      <c r="F241" s="456"/>
      <c r="G241" s="456"/>
      <c r="H241" s="292"/>
      <c r="I241" s="292"/>
      <c r="J241" s="1"/>
      <c r="K241" s="1"/>
      <c r="L241" s="171"/>
      <c r="M241" s="1"/>
    </row>
    <row r="242" spans="1:13" s="161" customFormat="1" ht="18.75" x14ac:dyDescent="0.25">
      <c r="A242" s="7"/>
      <c r="B242" s="9"/>
      <c r="C242" s="82"/>
      <c r="D242" s="82"/>
      <c r="E242" s="82"/>
      <c r="F242" s="82"/>
      <c r="G242" s="127"/>
      <c r="H242" s="127"/>
      <c r="I242" s="127"/>
      <c r="J242" s="1"/>
      <c r="K242" s="1"/>
      <c r="L242" s="171"/>
      <c r="M242" s="1"/>
    </row>
    <row r="243" spans="1:13" s="161" customFormat="1" ht="18.75" x14ac:dyDescent="0.25">
      <c r="A243" s="7"/>
      <c r="B243" s="9"/>
      <c r="C243" s="82"/>
      <c r="D243" s="82"/>
      <c r="E243" s="82"/>
      <c r="F243" s="82"/>
      <c r="G243" s="127"/>
      <c r="H243" s="127"/>
      <c r="I243" s="127"/>
      <c r="J243" s="1"/>
      <c r="K243" s="1"/>
      <c r="L243" s="171"/>
      <c r="M243" s="1"/>
    </row>
    <row r="244" spans="1:13" s="161" customFormat="1" ht="18.75" x14ac:dyDescent="0.25">
      <c r="A244" s="454"/>
      <c r="B244" s="454"/>
      <c r="C244" s="454"/>
      <c r="D244" s="454"/>
      <c r="E244" s="454"/>
      <c r="F244" s="454"/>
      <c r="G244" s="454"/>
      <c r="H244" s="293"/>
      <c r="I244" s="293"/>
      <c r="J244" s="1"/>
      <c r="K244" s="1"/>
      <c r="L244" s="171"/>
      <c r="M244" s="1"/>
    </row>
    <row r="245" spans="1:13" s="161" customFormat="1" ht="18.75" x14ac:dyDescent="0.25">
      <c r="A245" s="7"/>
      <c r="B245" s="8"/>
      <c r="C245" s="82"/>
      <c r="D245" s="82"/>
      <c r="E245" s="82"/>
      <c r="F245" s="82"/>
      <c r="G245" s="126"/>
      <c r="H245" s="126"/>
      <c r="I245" s="126"/>
      <c r="J245" s="1"/>
      <c r="K245" s="1"/>
      <c r="L245" s="171"/>
      <c r="M245" s="1"/>
    </row>
    <row r="246" spans="1:13" s="161" customFormat="1" ht="18.75" x14ac:dyDescent="0.25">
      <c r="A246" s="7"/>
      <c r="B246" s="8"/>
      <c r="C246" s="82"/>
      <c r="D246" s="82"/>
      <c r="E246" s="82"/>
      <c r="F246" s="82"/>
      <c r="G246" s="126"/>
      <c r="H246" s="126"/>
      <c r="I246" s="126"/>
      <c r="J246" s="1"/>
      <c r="K246" s="1"/>
      <c r="L246" s="171"/>
      <c r="M246" s="1"/>
    </row>
    <row r="247" spans="1:13" s="161" customFormat="1" ht="18.75" x14ac:dyDescent="0.25">
      <c r="A247" s="7"/>
      <c r="B247" s="8"/>
      <c r="C247" s="82"/>
      <c r="D247" s="82"/>
      <c r="E247" s="82"/>
      <c r="F247" s="82"/>
      <c r="G247" s="126"/>
      <c r="H247" s="126"/>
      <c r="I247" s="126"/>
      <c r="J247" s="1"/>
      <c r="K247" s="1"/>
      <c r="L247" s="171"/>
      <c r="M247" s="1"/>
    </row>
    <row r="248" spans="1:13" s="161" customFormat="1" ht="18.75" x14ac:dyDescent="0.25">
      <c r="A248" s="7"/>
      <c r="B248" s="8"/>
      <c r="C248" s="82"/>
      <c r="D248" s="82"/>
      <c r="E248" s="82"/>
      <c r="F248" s="82"/>
      <c r="G248" s="126"/>
      <c r="H248" s="126"/>
      <c r="I248" s="126"/>
      <c r="J248" s="1"/>
      <c r="K248" s="1"/>
      <c r="L248" s="171"/>
      <c r="M248" s="1"/>
    </row>
    <row r="249" spans="1:13" s="161" customFormat="1" ht="18.75" x14ac:dyDescent="0.25">
      <c r="A249" s="7"/>
      <c r="B249" s="8"/>
      <c r="C249" s="82"/>
      <c r="D249" s="82"/>
      <c r="E249" s="82"/>
      <c r="F249" s="82"/>
      <c r="G249" s="126"/>
      <c r="H249" s="126"/>
      <c r="I249" s="126"/>
      <c r="J249" s="1"/>
      <c r="K249" s="1"/>
      <c r="L249" s="171"/>
      <c r="M249" s="1"/>
    </row>
    <row r="250" spans="1:13" ht="18.75" x14ac:dyDescent="0.25">
      <c r="A250" s="7"/>
      <c r="B250" s="8"/>
      <c r="C250" s="82"/>
      <c r="D250" s="82"/>
      <c r="E250" s="82"/>
      <c r="F250" s="82"/>
      <c r="G250" s="126"/>
      <c r="H250" s="126"/>
      <c r="I250" s="126"/>
    </row>
    <row r="251" spans="1:13" ht="18.75" x14ac:dyDescent="0.25">
      <c r="A251" s="454"/>
      <c r="B251" s="454"/>
      <c r="C251" s="454"/>
      <c r="D251" s="454"/>
      <c r="E251" s="454"/>
      <c r="F251" s="454"/>
      <c r="G251" s="454"/>
      <c r="H251" s="293"/>
      <c r="I251" s="293"/>
    </row>
    <row r="252" spans="1:13" ht="18.75" x14ac:dyDescent="0.25">
      <c r="A252" s="7"/>
      <c r="B252" s="8"/>
      <c r="C252" s="82"/>
      <c r="D252" s="82"/>
      <c r="E252" s="82"/>
      <c r="F252" s="82"/>
      <c r="G252" s="126"/>
      <c r="H252" s="126"/>
      <c r="I252" s="126"/>
    </row>
    <row r="253" spans="1:13" ht="18.75" x14ac:dyDescent="0.25">
      <c r="A253" s="7"/>
      <c r="B253" s="8"/>
      <c r="C253" s="82"/>
      <c r="D253" s="82"/>
      <c r="E253" s="82"/>
      <c r="F253" s="82"/>
      <c r="G253" s="126"/>
      <c r="H253" s="126"/>
      <c r="I253" s="126"/>
    </row>
    <row r="254" spans="1:13" ht="18.75" x14ac:dyDescent="0.25">
      <c r="A254" s="7"/>
      <c r="B254" s="8"/>
      <c r="C254" s="82"/>
      <c r="D254" s="82"/>
      <c r="E254" s="82"/>
      <c r="F254" s="82"/>
      <c r="G254" s="126"/>
      <c r="H254" s="126"/>
      <c r="I254" s="126"/>
    </row>
    <row r="255" spans="1:13" ht="18.75" x14ac:dyDescent="0.25">
      <c r="A255" s="7"/>
      <c r="B255" s="8"/>
      <c r="C255" s="82"/>
      <c r="D255" s="82"/>
      <c r="E255" s="82"/>
      <c r="F255" s="82"/>
      <c r="G255" s="126"/>
      <c r="H255" s="126"/>
      <c r="I255" s="126"/>
    </row>
    <row r="256" spans="1:13" ht="18.75" x14ac:dyDescent="0.25">
      <c r="A256" s="7"/>
      <c r="B256" s="8"/>
      <c r="C256" s="82"/>
      <c r="D256" s="82"/>
      <c r="E256" s="82"/>
      <c r="F256" s="82"/>
      <c r="G256" s="126"/>
      <c r="H256" s="126"/>
      <c r="I256" s="126"/>
    </row>
    <row r="257" spans="1:13" s="5" customFormat="1" ht="18.75" x14ac:dyDescent="0.25">
      <c r="A257" s="7"/>
      <c r="B257" s="8"/>
      <c r="C257" s="82"/>
      <c r="D257" s="82"/>
      <c r="E257" s="82"/>
      <c r="F257" s="82"/>
      <c r="G257" s="126"/>
      <c r="H257" s="126"/>
      <c r="I257" s="126"/>
      <c r="L257" s="178"/>
    </row>
    <row r="258" spans="1:13" ht="18.75" x14ac:dyDescent="0.25">
      <c r="A258" s="7"/>
      <c r="B258" s="8"/>
      <c r="C258" s="82"/>
      <c r="D258" s="82"/>
      <c r="E258" s="82"/>
      <c r="F258" s="82"/>
      <c r="G258" s="126"/>
      <c r="H258" s="126"/>
      <c r="I258" s="126"/>
    </row>
    <row r="259" spans="1:13" ht="18.75" x14ac:dyDescent="0.25">
      <c r="A259" s="455"/>
      <c r="B259" s="455"/>
      <c r="C259" s="455"/>
      <c r="D259" s="455"/>
      <c r="E259" s="455"/>
      <c r="F259" s="455"/>
      <c r="G259" s="455"/>
      <c r="H259" s="291"/>
      <c r="I259" s="291"/>
    </row>
    <row r="260" spans="1:13" ht="18.75" x14ac:dyDescent="0.25">
      <c r="A260" s="7"/>
      <c r="B260" s="8"/>
      <c r="C260" s="82"/>
      <c r="D260" s="82"/>
      <c r="E260" s="82"/>
      <c r="F260" s="82"/>
      <c r="G260" s="126"/>
      <c r="H260" s="126"/>
      <c r="I260" s="126"/>
    </row>
    <row r="261" spans="1:13" ht="18.75" x14ac:dyDescent="0.25">
      <c r="A261" s="7"/>
      <c r="B261" s="8"/>
      <c r="C261" s="82"/>
      <c r="D261" s="82"/>
      <c r="E261" s="82"/>
      <c r="F261" s="82"/>
      <c r="G261" s="126"/>
      <c r="H261" s="126"/>
      <c r="I261" s="126"/>
    </row>
    <row r="262" spans="1:13" ht="18.75" x14ac:dyDescent="0.25">
      <c r="A262" s="7"/>
      <c r="B262" s="8"/>
      <c r="C262" s="82"/>
      <c r="D262" s="82"/>
      <c r="E262" s="82"/>
      <c r="F262" s="82"/>
      <c r="G262" s="126"/>
      <c r="H262" s="126"/>
      <c r="I262" s="126"/>
    </row>
    <row r="263" spans="1:13" ht="18.75" x14ac:dyDescent="0.25">
      <c r="A263" s="7"/>
      <c r="B263" s="8"/>
      <c r="C263" s="82"/>
      <c r="D263" s="82"/>
      <c r="E263" s="82"/>
      <c r="F263" s="82"/>
      <c r="G263" s="126"/>
      <c r="H263" s="126"/>
      <c r="I263" s="126"/>
    </row>
    <row r="264" spans="1:13" ht="18.75" x14ac:dyDescent="0.25">
      <c r="A264" s="7"/>
      <c r="B264" s="8"/>
      <c r="C264" s="82"/>
      <c r="D264" s="82"/>
      <c r="E264" s="82"/>
      <c r="F264" s="82"/>
      <c r="G264" s="126"/>
      <c r="H264" s="126"/>
      <c r="I264" s="126"/>
    </row>
    <row r="265" spans="1:13" ht="18.75" x14ac:dyDescent="0.25">
      <c r="A265" s="7"/>
      <c r="B265" s="8"/>
      <c r="C265" s="82"/>
      <c r="D265" s="82"/>
      <c r="E265" s="82"/>
      <c r="F265" s="82"/>
      <c r="G265" s="126"/>
      <c r="H265" s="126"/>
      <c r="I265" s="126"/>
    </row>
    <row r="266" spans="1:13" s="161" customFormat="1" ht="18.75" x14ac:dyDescent="0.25">
      <c r="A266" s="7"/>
      <c r="B266" s="8"/>
      <c r="C266" s="82"/>
      <c r="D266" s="82"/>
      <c r="E266" s="82"/>
      <c r="F266" s="82"/>
      <c r="G266" s="126"/>
      <c r="H266" s="126"/>
      <c r="I266" s="126"/>
      <c r="J266" s="1"/>
      <c r="K266" s="1"/>
      <c r="L266" s="171"/>
      <c r="M266" s="1"/>
    </row>
    <row r="267" spans="1:13" s="161" customFormat="1" ht="18.75" x14ac:dyDescent="0.25">
      <c r="A267" s="7"/>
      <c r="B267" s="8"/>
      <c r="C267" s="82"/>
      <c r="D267" s="82"/>
      <c r="E267" s="82"/>
      <c r="F267" s="82"/>
      <c r="G267" s="126"/>
      <c r="H267" s="126"/>
      <c r="I267" s="126"/>
      <c r="J267" s="1"/>
      <c r="K267" s="1"/>
      <c r="L267" s="171"/>
      <c r="M267" s="1"/>
    </row>
    <row r="268" spans="1:13" s="161" customFormat="1" ht="18.75" x14ac:dyDescent="0.25">
      <c r="A268" s="7"/>
      <c r="B268" s="8"/>
      <c r="C268" s="82"/>
      <c r="D268" s="82"/>
      <c r="E268" s="82"/>
      <c r="F268" s="82"/>
      <c r="G268" s="126"/>
      <c r="H268" s="126"/>
      <c r="I268" s="126"/>
      <c r="J268" s="1"/>
      <c r="K268" s="1"/>
      <c r="L268" s="171"/>
      <c r="M268" s="1"/>
    </row>
    <row r="269" spans="1:13" s="161" customFormat="1" ht="18.75" x14ac:dyDescent="0.25">
      <c r="A269" s="7"/>
      <c r="B269" s="8"/>
      <c r="C269" s="82"/>
      <c r="D269" s="82"/>
      <c r="E269" s="82"/>
      <c r="F269" s="82"/>
      <c r="G269" s="126"/>
      <c r="H269" s="126"/>
      <c r="I269" s="126"/>
      <c r="J269" s="1"/>
      <c r="K269" s="1"/>
      <c r="L269" s="171"/>
      <c r="M269" s="1"/>
    </row>
    <row r="270" spans="1:13" s="161" customFormat="1" ht="18.75" x14ac:dyDescent="0.25">
      <c r="A270" s="7"/>
      <c r="B270" s="8"/>
      <c r="C270" s="82"/>
      <c r="D270" s="82"/>
      <c r="E270" s="82"/>
      <c r="F270" s="82"/>
      <c r="G270" s="126"/>
      <c r="H270" s="126"/>
      <c r="I270" s="126"/>
      <c r="J270" s="1"/>
      <c r="K270" s="1"/>
      <c r="L270" s="171"/>
      <c r="M270" s="1"/>
    </row>
    <row r="271" spans="1:13" s="161" customFormat="1" ht="18.75" x14ac:dyDescent="0.25">
      <c r="A271" s="7"/>
      <c r="B271" s="8"/>
      <c r="C271" s="82"/>
      <c r="D271" s="82"/>
      <c r="E271" s="82"/>
      <c r="F271" s="82"/>
      <c r="G271" s="126"/>
      <c r="H271" s="126"/>
      <c r="I271" s="126"/>
      <c r="J271" s="1"/>
      <c r="K271" s="1"/>
      <c r="L271" s="171"/>
      <c r="M271" s="1"/>
    </row>
    <row r="272" spans="1:13" s="161" customFormat="1" ht="18.75" x14ac:dyDescent="0.25">
      <c r="A272" s="456"/>
      <c r="B272" s="456"/>
      <c r="C272" s="456"/>
      <c r="D272" s="456"/>
      <c r="E272" s="456"/>
      <c r="F272" s="456"/>
      <c r="G272" s="456"/>
      <c r="H272" s="292"/>
      <c r="I272" s="292"/>
      <c r="J272" s="1"/>
      <c r="K272" s="1"/>
      <c r="L272" s="171"/>
      <c r="M272" s="1"/>
    </row>
    <row r="273" spans="1:13" s="161" customFormat="1" ht="18.75" x14ac:dyDescent="0.25">
      <c r="A273" s="7"/>
      <c r="B273" s="9"/>
      <c r="C273" s="10"/>
      <c r="D273" s="10"/>
      <c r="E273" s="10"/>
      <c r="F273" s="10"/>
      <c r="G273" s="127"/>
      <c r="H273" s="127"/>
      <c r="I273" s="127"/>
      <c r="J273" s="1"/>
      <c r="K273" s="1"/>
      <c r="L273" s="171"/>
      <c r="M273" s="1"/>
    </row>
    <row r="274" spans="1:13" s="161" customFormat="1" ht="18.75" x14ac:dyDescent="0.25">
      <c r="A274" s="7"/>
      <c r="B274" s="9"/>
      <c r="C274" s="10"/>
      <c r="D274" s="10"/>
      <c r="E274" s="10"/>
      <c r="F274" s="10"/>
      <c r="G274" s="127"/>
      <c r="H274" s="127"/>
      <c r="I274" s="127"/>
      <c r="J274" s="1"/>
      <c r="K274" s="1"/>
      <c r="L274" s="171"/>
      <c r="M274" s="1"/>
    </row>
    <row r="275" spans="1:13" s="161" customFormat="1" ht="18.75" x14ac:dyDescent="0.25">
      <c r="A275" s="7"/>
      <c r="B275" s="8"/>
      <c r="C275" s="82"/>
      <c r="D275" s="82"/>
      <c r="E275" s="82"/>
      <c r="F275" s="82"/>
      <c r="G275" s="126"/>
      <c r="H275" s="126"/>
      <c r="I275" s="126"/>
      <c r="J275" s="1"/>
      <c r="K275" s="1"/>
      <c r="L275" s="171"/>
      <c r="M275" s="1"/>
    </row>
    <row r="276" spans="1:13" s="161" customFormat="1" x14ac:dyDescent="0.25">
      <c r="A276" s="79"/>
      <c r="B276" s="11"/>
      <c r="C276" s="79"/>
      <c r="D276" s="79"/>
      <c r="E276" s="79"/>
      <c r="F276" s="79"/>
      <c r="G276" s="126"/>
      <c r="H276" s="126"/>
      <c r="I276" s="126"/>
      <c r="J276" s="1"/>
      <c r="K276" s="1"/>
      <c r="L276" s="171"/>
      <c r="M276" s="1"/>
    </row>
    <row r="277" spans="1:13" s="161" customFormat="1" x14ac:dyDescent="0.25">
      <c r="A277" s="79"/>
      <c r="B277" s="11"/>
      <c r="C277" s="79"/>
      <c r="D277" s="79"/>
      <c r="E277" s="79"/>
      <c r="F277" s="79"/>
      <c r="G277" s="126"/>
      <c r="H277" s="126"/>
      <c r="I277" s="126"/>
      <c r="J277" s="1"/>
      <c r="K277" s="1"/>
      <c r="L277" s="171"/>
      <c r="M277" s="1"/>
    </row>
    <row r="278" spans="1:13" s="161" customFormat="1" x14ac:dyDescent="0.25">
      <c r="A278" s="79"/>
      <c r="B278" s="11"/>
      <c r="C278" s="79"/>
      <c r="D278" s="79"/>
      <c r="E278" s="79"/>
      <c r="F278" s="79"/>
      <c r="G278" s="126"/>
      <c r="H278" s="126"/>
      <c r="I278" s="126"/>
      <c r="J278" s="1"/>
      <c r="K278" s="1"/>
      <c r="L278" s="171"/>
      <c r="M278" s="1"/>
    </row>
    <row r="279" spans="1:13" s="161" customFormat="1" x14ac:dyDescent="0.25">
      <c r="A279" s="79"/>
      <c r="B279" s="11"/>
      <c r="C279" s="79"/>
      <c r="D279" s="79"/>
      <c r="E279" s="79"/>
      <c r="F279" s="79"/>
      <c r="G279" s="126"/>
      <c r="H279" s="126"/>
      <c r="I279" s="126"/>
      <c r="J279" s="1"/>
      <c r="K279" s="1"/>
      <c r="L279" s="171"/>
      <c r="M279" s="1"/>
    </row>
    <row r="280" spans="1:13" s="161" customFormat="1" x14ac:dyDescent="0.25">
      <c r="A280" s="79"/>
      <c r="B280" s="11"/>
      <c r="C280" s="79"/>
      <c r="D280" s="79"/>
      <c r="E280" s="79"/>
      <c r="F280" s="79"/>
      <c r="G280" s="126"/>
      <c r="H280" s="126"/>
      <c r="I280" s="126"/>
      <c r="J280" s="1"/>
      <c r="K280" s="1"/>
      <c r="L280" s="171"/>
      <c r="M280" s="1"/>
    </row>
    <row r="281" spans="1:13" s="161" customFormat="1" x14ac:dyDescent="0.25">
      <c r="A281" s="79"/>
      <c r="B281" s="11"/>
      <c r="C281" s="79"/>
      <c r="D281" s="79"/>
      <c r="E281" s="79"/>
      <c r="F281" s="79"/>
      <c r="G281" s="126"/>
      <c r="H281" s="126"/>
      <c r="I281" s="126"/>
      <c r="J281" s="1"/>
      <c r="K281" s="1"/>
      <c r="L281" s="171"/>
      <c r="M281" s="1"/>
    </row>
    <row r="282" spans="1:13" x14ac:dyDescent="0.25">
      <c r="A282" s="79"/>
      <c r="B282" s="11"/>
      <c r="C282" s="79"/>
      <c r="D282" s="79"/>
      <c r="E282" s="79"/>
      <c r="F282" s="79"/>
      <c r="G282" s="126"/>
      <c r="H282" s="126"/>
      <c r="I282" s="126"/>
    </row>
    <row r="283" spans="1:13" x14ac:dyDescent="0.25">
      <c r="A283" s="79"/>
      <c r="B283" s="11"/>
      <c r="C283" s="79"/>
      <c r="D283" s="79"/>
      <c r="E283" s="79"/>
      <c r="F283" s="79"/>
      <c r="G283" s="126"/>
      <c r="H283" s="126"/>
      <c r="I283" s="126"/>
    </row>
    <row r="284" spans="1:13" x14ac:dyDescent="0.25">
      <c r="A284" s="79"/>
      <c r="B284" s="11"/>
      <c r="C284" s="79"/>
      <c r="D284" s="79"/>
      <c r="E284" s="79"/>
      <c r="F284" s="79"/>
      <c r="G284" s="126"/>
      <c r="H284" s="126"/>
      <c r="I284" s="126"/>
    </row>
    <row r="285" spans="1:13" s="5" customFormat="1" x14ac:dyDescent="0.25">
      <c r="A285" s="79"/>
      <c r="B285" s="11"/>
      <c r="C285" s="79"/>
      <c r="D285" s="79"/>
      <c r="E285" s="79"/>
      <c r="F285" s="79"/>
      <c r="G285" s="126"/>
      <c r="H285" s="126"/>
      <c r="I285" s="126"/>
      <c r="L285" s="178"/>
    </row>
    <row r="287" spans="1:13" s="5" customFormat="1" x14ac:dyDescent="0.25">
      <c r="A287" s="48"/>
      <c r="B287" s="1"/>
      <c r="C287" s="48"/>
      <c r="D287" s="48"/>
      <c r="E287" s="48"/>
      <c r="F287" s="48"/>
      <c r="G287" s="74"/>
      <c r="H287" s="74"/>
      <c r="I287" s="74"/>
      <c r="L287" s="178"/>
    </row>
    <row r="288" spans="1:13" s="5" customFormat="1" x14ac:dyDescent="0.25">
      <c r="A288" s="48"/>
      <c r="B288" s="1"/>
      <c r="C288" s="48"/>
      <c r="D288" s="48"/>
      <c r="E288" s="48"/>
      <c r="F288" s="48"/>
      <c r="G288" s="74"/>
      <c r="H288" s="74"/>
      <c r="I288" s="74"/>
      <c r="L288" s="178"/>
    </row>
  </sheetData>
  <autoFilter ref="A8:I219"/>
  <mergeCells count="32">
    <mergeCell ref="A251:G251"/>
    <mergeCell ref="A259:G259"/>
    <mergeCell ref="A272:G272"/>
    <mergeCell ref="A228:G228"/>
    <mergeCell ref="A241:G241"/>
    <mergeCell ref="A222:G222"/>
    <mergeCell ref="A224:G224"/>
    <mergeCell ref="A226:G226"/>
    <mergeCell ref="A227:G227"/>
    <mergeCell ref="A244:G244"/>
    <mergeCell ref="A139:G139"/>
    <mergeCell ref="A147:G147"/>
    <mergeCell ref="A193:G193"/>
    <mergeCell ref="A195:G195"/>
    <mergeCell ref="A211:G211"/>
    <mergeCell ref="A127:G127"/>
    <mergeCell ref="A9:G9"/>
    <mergeCell ref="A10:G10"/>
    <mergeCell ref="A16:G16"/>
    <mergeCell ref="A45:G45"/>
    <mergeCell ref="A48:G48"/>
    <mergeCell ref="A51:G51"/>
    <mergeCell ref="A53:G53"/>
    <mergeCell ref="A80:G80"/>
    <mergeCell ref="A108:G108"/>
    <mergeCell ref="A121:G121"/>
    <mergeCell ref="A12:G12"/>
    <mergeCell ref="B3:G3"/>
    <mergeCell ref="A4:G4"/>
    <mergeCell ref="A5:G5"/>
    <mergeCell ref="A6:G6"/>
    <mergeCell ref="A7:G7"/>
  </mergeCells>
  <printOptions horizontalCentered="1"/>
  <pageMargins left="0.59055118110236227" right="0.19685039370078741" top="0.39370078740157483" bottom="0.19685039370078741" header="0" footer="0"/>
  <pageSetup paperSize="9" scale="65" fitToHeight="0" orientation="portrait" r:id="rId1"/>
  <headerFooter>
    <oddFooter>&amp;C&amp;P</oddFooter>
  </headerFooter>
  <rowBreaks count="3" manualBreakCount="3">
    <brk id="68" max="5" man="1"/>
    <brk id="136" max="5" man="1"/>
    <brk id="202" max="5"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pageSetUpPr fitToPage="1"/>
  </sheetPr>
  <dimension ref="A1:S483"/>
  <sheetViews>
    <sheetView zoomScale="120" zoomScaleNormal="120" workbookViewId="0">
      <selection activeCell="A7" sqref="A7:F7"/>
    </sheetView>
  </sheetViews>
  <sheetFormatPr defaultColWidth="8.5703125" defaultRowHeight="15.75" outlineLevelRow="1" x14ac:dyDescent="0.25"/>
  <cols>
    <col min="1" max="1" width="6.5703125" style="48" customWidth="1"/>
    <col min="2" max="2" width="79.5703125" style="1" customWidth="1"/>
    <col min="3" max="3" width="15.42578125" style="48" bestFit="1" customWidth="1"/>
    <col min="4" max="4" width="10.42578125" style="78" customWidth="1"/>
    <col min="5" max="5" width="10.7109375" style="78" customWidth="1"/>
    <col min="6" max="6" width="12.140625" style="74" customWidth="1"/>
    <col min="7" max="7" width="12.140625" style="161" hidden="1" customWidth="1"/>
    <col min="8" max="8" width="11" style="161" hidden="1" customWidth="1"/>
    <col min="9" max="9" width="8.5703125" style="159" hidden="1" customWidth="1"/>
    <col min="10" max="10" width="11.7109375" style="161" hidden="1" customWidth="1"/>
    <col min="11" max="11" width="8.7109375" style="161" hidden="1" customWidth="1"/>
    <col min="12" max="12" width="10.7109375" style="161" hidden="1" customWidth="1"/>
    <col min="13" max="13" width="3.140625" style="1" hidden="1" customWidth="1"/>
    <col min="14" max="14" width="8.5703125" style="1" hidden="1" customWidth="1"/>
    <col min="15" max="15" width="12.28515625" style="1" hidden="1" customWidth="1"/>
    <col min="16" max="16" width="8.5703125" style="171" hidden="1" customWidth="1"/>
    <col min="17" max="17" width="8.5703125" style="1" hidden="1" customWidth="1"/>
    <col min="18" max="18" width="11.7109375" style="1" hidden="1" customWidth="1"/>
    <col min="19" max="19" width="8.5703125" style="1" hidden="1" customWidth="1"/>
    <col min="20" max="22" width="8.5703125" style="1" customWidth="1"/>
    <col min="23" max="16384" width="8.5703125" style="1"/>
  </cols>
  <sheetData>
    <row r="1" spans="1:19" ht="18" x14ac:dyDescent="0.25">
      <c r="B1" s="47"/>
      <c r="C1" s="80"/>
      <c r="D1" s="120"/>
      <c r="E1" s="120"/>
      <c r="F1" s="71" t="s">
        <v>364</v>
      </c>
      <c r="G1" s="159"/>
      <c r="H1" s="160"/>
    </row>
    <row r="2" spans="1:19" ht="18" x14ac:dyDescent="0.25">
      <c r="A2" s="1"/>
      <c r="B2" s="44"/>
      <c r="C2" s="2"/>
      <c r="D2" s="121"/>
      <c r="E2" s="121"/>
      <c r="F2" s="116" t="str">
        <f>'Лаборатория - ПТЗ, Шуйское, 26'!F2</f>
        <v>№  1027-П от 29 декабря 2021 года</v>
      </c>
      <c r="G2" s="159"/>
      <c r="H2" s="160"/>
      <c r="I2" s="162"/>
      <c r="K2" s="163"/>
    </row>
    <row r="3" spans="1:19" ht="18" x14ac:dyDescent="0.25">
      <c r="B3" s="387"/>
      <c r="C3" s="388"/>
      <c r="D3" s="388"/>
      <c r="E3" s="388"/>
      <c r="F3" s="388"/>
      <c r="G3" s="159"/>
      <c r="H3" s="164"/>
      <c r="I3" s="162"/>
      <c r="K3" s="163"/>
    </row>
    <row r="4" spans="1:19" ht="23.25" x14ac:dyDescent="0.25">
      <c r="A4" s="389" t="s">
        <v>1220</v>
      </c>
      <c r="B4" s="389"/>
      <c r="C4" s="389"/>
      <c r="D4" s="389"/>
      <c r="E4" s="389"/>
      <c r="F4" s="389"/>
      <c r="G4" s="165"/>
      <c r="H4" s="165"/>
      <c r="I4" s="162"/>
      <c r="K4" s="163"/>
    </row>
    <row r="5" spans="1:19" ht="21" x14ac:dyDescent="0.25">
      <c r="A5" s="390" t="s">
        <v>1221</v>
      </c>
      <c r="B5" s="390"/>
      <c r="C5" s="390"/>
      <c r="D5" s="390"/>
      <c r="E5" s="390"/>
      <c r="F5" s="390"/>
      <c r="G5" s="165"/>
      <c r="H5" s="165"/>
      <c r="I5" s="162"/>
      <c r="K5" s="163"/>
    </row>
    <row r="6" spans="1:19" s="3" customFormat="1" ht="21" x14ac:dyDescent="0.35">
      <c r="A6" s="390" t="s">
        <v>1222</v>
      </c>
      <c r="B6" s="390"/>
      <c r="C6" s="390"/>
      <c r="D6" s="390"/>
      <c r="E6" s="390"/>
      <c r="F6" s="390"/>
      <c r="G6" s="166"/>
      <c r="H6" s="166"/>
      <c r="I6" s="167"/>
      <c r="J6" s="166"/>
      <c r="K6" s="166"/>
      <c r="L6" s="166"/>
      <c r="P6" s="172"/>
    </row>
    <row r="7" spans="1:19" s="114" customFormat="1" ht="24" customHeight="1" x14ac:dyDescent="0.35">
      <c r="A7" s="431" t="s">
        <v>3747</v>
      </c>
      <c r="B7" s="431"/>
      <c r="C7" s="431"/>
      <c r="D7" s="431"/>
      <c r="E7" s="431"/>
      <c r="F7" s="431"/>
      <c r="G7" s="166"/>
      <c r="H7" s="166"/>
      <c r="I7" s="167"/>
      <c r="J7" s="166"/>
      <c r="K7" s="166"/>
      <c r="L7" s="166"/>
      <c r="P7" s="173"/>
    </row>
    <row r="8" spans="1:19" s="206" customFormat="1" ht="56.25" x14ac:dyDescent="0.2">
      <c r="A8" s="16" t="s">
        <v>0</v>
      </c>
      <c r="B8" s="16" t="s">
        <v>1</v>
      </c>
      <c r="C8" s="119" t="s">
        <v>2</v>
      </c>
      <c r="D8" s="17" t="s">
        <v>3</v>
      </c>
      <c r="E8" s="16" t="s">
        <v>1393</v>
      </c>
      <c r="F8" s="17" t="s">
        <v>1394</v>
      </c>
      <c r="G8" s="208" t="s">
        <v>1579</v>
      </c>
      <c r="H8" s="56" t="s">
        <v>1580</v>
      </c>
      <c r="I8" s="208" t="s">
        <v>1581</v>
      </c>
      <c r="J8" s="458" t="s">
        <v>1582</v>
      </c>
      <c r="K8" s="458"/>
      <c r="O8" s="218">
        <v>44190</v>
      </c>
      <c r="R8" s="218">
        <v>44621</v>
      </c>
    </row>
    <row r="9" spans="1:19" customFormat="1" ht="18.75" x14ac:dyDescent="0.25">
      <c r="A9" s="427" t="s">
        <v>1901</v>
      </c>
      <c r="B9" s="428"/>
      <c r="C9" s="428"/>
      <c r="D9" s="428"/>
      <c r="E9" s="428"/>
      <c r="F9" s="429"/>
      <c r="G9" s="210">
        <v>1.0369999999999999</v>
      </c>
      <c r="H9" s="174">
        <v>1</v>
      </c>
      <c r="I9" s="174">
        <v>0.2</v>
      </c>
      <c r="J9" s="171"/>
      <c r="K9" s="171"/>
      <c r="L9" s="75"/>
      <c r="P9" s="195"/>
      <c r="Q9" s="1"/>
    </row>
    <row r="10" spans="1:19" s="83" customFormat="1" ht="19.5" thickBot="1" x14ac:dyDescent="0.25">
      <c r="A10" s="407" t="s">
        <v>1903</v>
      </c>
      <c r="B10" s="452"/>
      <c r="C10" s="452"/>
      <c r="D10" s="452"/>
      <c r="E10" s="452"/>
      <c r="F10" s="409"/>
      <c r="G10" s="75"/>
      <c r="H10" s="75"/>
      <c r="I10" s="75"/>
      <c r="J10" s="175"/>
      <c r="K10" s="175"/>
      <c r="L10" s="75"/>
      <c r="P10" s="197"/>
    </row>
    <row r="11" spans="1:19" customFormat="1" ht="32.25" outlineLevel="1" thickBot="1" x14ac:dyDescent="0.3">
      <c r="A11" s="25" t="s">
        <v>5</v>
      </c>
      <c r="B11" s="70" t="s">
        <v>1751</v>
      </c>
      <c r="C11" s="94" t="s">
        <v>549</v>
      </c>
      <c r="D11" s="123">
        <f>F11/1.2</f>
        <v>1320.8333333333335</v>
      </c>
      <c r="E11" s="123">
        <f>D11*0.2</f>
        <v>264.16666666666669</v>
      </c>
      <c r="F11" s="123">
        <f>R11+P11</f>
        <v>1585</v>
      </c>
      <c r="G11" s="75">
        <v>1333</v>
      </c>
      <c r="H11" s="75">
        <v>1110.83</v>
      </c>
      <c r="I11" s="75">
        <v>222.17</v>
      </c>
      <c r="J11" s="175">
        <f>I11+H11</f>
        <v>1333</v>
      </c>
      <c r="K11" s="175">
        <f>G11-J11</f>
        <v>0</v>
      </c>
      <c r="L11" s="75">
        <f>F11-G11</f>
        <v>252</v>
      </c>
      <c r="N11" s="194">
        <v>1040</v>
      </c>
      <c r="O11" s="217">
        <v>1058</v>
      </c>
      <c r="P11" s="198">
        <v>375</v>
      </c>
      <c r="Q11" s="1"/>
      <c r="R11" s="198">
        <v>1210</v>
      </c>
      <c r="S11" s="182">
        <f>R11/O11</f>
        <v>1.1436672967863895</v>
      </c>
    </row>
    <row r="12" spans="1:19" customFormat="1" ht="16.5" outlineLevel="1" thickBot="1" x14ac:dyDescent="0.3">
      <c r="A12" s="25" t="s">
        <v>7</v>
      </c>
      <c r="B12" s="70" t="s">
        <v>1746</v>
      </c>
      <c r="C12" s="94" t="s">
        <v>549</v>
      </c>
      <c r="D12" s="123">
        <f t="shared" ref="D12:D17" si="0">F12/1.2</f>
        <v>564.16666666666674</v>
      </c>
      <c r="E12" s="123">
        <f t="shared" ref="E12:E75" si="1">D12*0.2</f>
        <v>112.83333333333336</v>
      </c>
      <c r="F12" s="123">
        <f t="shared" ref="F12:F17" si="2">R12+P12</f>
        <v>677</v>
      </c>
      <c r="G12" s="75">
        <v>540</v>
      </c>
      <c r="H12" s="75">
        <v>450</v>
      </c>
      <c r="I12" s="75">
        <v>90</v>
      </c>
      <c r="J12" s="175">
        <f t="shared" ref="J12:J72" si="3">I12+H12</f>
        <v>540</v>
      </c>
      <c r="K12" s="175">
        <f t="shared" ref="K12:K72" si="4">G12-J12</f>
        <v>0</v>
      </c>
      <c r="L12" s="75">
        <f t="shared" ref="L12:L72" si="5">F12-G12</f>
        <v>137</v>
      </c>
      <c r="N12" s="194">
        <v>260</v>
      </c>
      <c r="O12" s="217">
        <v>265</v>
      </c>
      <c r="P12" s="198">
        <v>375</v>
      </c>
      <c r="Q12" s="1"/>
      <c r="R12" s="182">
        <v>302</v>
      </c>
      <c r="S12" s="182">
        <f t="shared" ref="S12:S75" si="6">R12/O12</f>
        <v>1.1396226415094339</v>
      </c>
    </row>
    <row r="13" spans="1:19" customFormat="1" ht="16.5" outlineLevel="1" thickBot="1" x14ac:dyDescent="0.3">
      <c r="A13" s="25" t="s">
        <v>8</v>
      </c>
      <c r="B13" s="70" t="s">
        <v>1747</v>
      </c>
      <c r="C13" s="94" t="s">
        <v>549</v>
      </c>
      <c r="D13" s="123">
        <f t="shared" si="0"/>
        <v>564.16666666666674</v>
      </c>
      <c r="E13" s="123">
        <f t="shared" si="1"/>
        <v>112.83333333333336</v>
      </c>
      <c r="F13" s="123">
        <f t="shared" si="2"/>
        <v>677</v>
      </c>
      <c r="G13" s="75">
        <v>540</v>
      </c>
      <c r="H13" s="75">
        <v>450</v>
      </c>
      <c r="I13" s="75">
        <v>90</v>
      </c>
      <c r="J13" s="175">
        <f t="shared" si="3"/>
        <v>540</v>
      </c>
      <c r="K13" s="175">
        <f t="shared" si="4"/>
        <v>0</v>
      </c>
      <c r="L13" s="75">
        <f t="shared" si="5"/>
        <v>137</v>
      </c>
      <c r="N13" s="194">
        <v>260</v>
      </c>
      <c r="O13" s="217">
        <v>265</v>
      </c>
      <c r="P13" s="198">
        <v>375</v>
      </c>
      <c r="Q13" s="1"/>
      <c r="R13" s="182">
        <v>302</v>
      </c>
      <c r="S13" s="182">
        <f t="shared" si="6"/>
        <v>1.1396226415094339</v>
      </c>
    </row>
    <row r="14" spans="1:19" customFormat="1" ht="16.5" outlineLevel="1" thickBot="1" x14ac:dyDescent="0.3">
      <c r="A14" s="25" t="s">
        <v>9</v>
      </c>
      <c r="B14" s="70" t="s">
        <v>1748</v>
      </c>
      <c r="C14" s="94" t="s">
        <v>549</v>
      </c>
      <c r="D14" s="123">
        <f t="shared" si="0"/>
        <v>564.16666666666674</v>
      </c>
      <c r="E14" s="123">
        <f t="shared" si="1"/>
        <v>112.83333333333336</v>
      </c>
      <c r="F14" s="123">
        <f t="shared" si="2"/>
        <v>677</v>
      </c>
      <c r="G14" s="75">
        <v>540</v>
      </c>
      <c r="H14" s="75">
        <v>450</v>
      </c>
      <c r="I14" s="75">
        <v>90</v>
      </c>
      <c r="J14" s="175">
        <f t="shared" si="3"/>
        <v>540</v>
      </c>
      <c r="K14" s="175">
        <f t="shared" si="4"/>
        <v>0</v>
      </c>
      <c r="L14" s="75">
        <f t="shared" si="5"/>
        <v>137</v>
      </c>
      <c r="N14" s="194">
        <v>260</v>
      </c>
      <c r="O14" s="217">
        <v>265</v>
      </c>
      <c r="P14" s="198">
        <v>375</v>
      </c>
      <c r="Q14" s="1"/>
      <c r="R14" s="182">
        <v>302</v>
      </c>
      <c r="S14" s="182">
        <f t="shared" si="6"/>
        <v>1.1396226415094339</v>
      </c>
    </row>
    <row r="15" spans="1:19" customFormat="1" ht="16.5" outlineLevel="1" thickBot="1" x14ac:dyDescent="0.3">
      <c r="A15" s="25" t="s">
        <v>10</v>
      </c>
      <c r="B15" s="70" t="s">
        <v>1749</v>
      </c>
      <c r="C15" s="94" t="s">
        <v>549</v>
      </c>
      <c r="D15" s="123">
        <f t="shared" si="0"/>
        <v>600.83333333333337</v>
      </c>
      <c r="E15" s="123">
        <f t="shared" si="1"/>
        <v>120.16666666666669</v>
      </c>
      <c r="F15" s="123">
        <f t="shared" si="2"/>
        <v>721</v>
      </c>
      <c r="G15" s="75">
        <v>577</v>
      </c>
      <c r="H15" s="75">
        <v>480.83</v>
      </c>
      <c r="I15" s="75">
        <v>96.17</v>
      </c>
      <c r="J15" s="175">
        <f t="shared" si="3"/>
        <v>577</v>
      </c>
      <c r="K15" s="175">
        <f t="shared" si="4"/>
        <v>0</v>
      </c>
      <c r="L15" s="75">
        <f t="shared" si="5"/>
        <v>144</v>
      </c>
      <c r="N15" s="194">
        <v>295</v>
      </c>
      <c r="O15" s="217">
        <v>302</v>
      </c>
      <c r="P15" s="198">
        <v>375</v>
      </c>
      <c r="Q15" s="1"/>
      <c r="R15" s="182">
        <v>346</v>
      </c>
      <c r="S15" s="182">
        <f t="shared" si="6"/>
        <v>1.1456953642384107</v>
      </c>
    </row>
    <row r="16" spans="1:19" customFormat="1" ht="16.5" outlineLevel="1" thickBot="1" x14ac:dyDescent="0.3">
      <c r="A16" s="25" t="s">
        <v>11</v>
      </c>
      <c r="B16" s="70" t="s">
        <v>1750</v>
      </c>
      <c r="C16" s="94" t="s">
        <v>549</v>
      </c>
      <c r="D16" s="123">
        <f t="shared" si="0"/>
        <v>756.66666666666674</v>
      </c>
      <c r="E16" s="123">
        <f t="shared" si="1"/>
        <v>151.33333333333334</v>
      </c>
      <c r="F16" s="123">
        <f t="shared" si="2"/>
        <v>908</v>
      </c>
      <c r="G16" s="75">
        <v>741</v>
      </c>
      <c r="H16" s="75">
        <v>617.5</v>
      </c>
      <c r="I16" s="75">
        <v>123.5</v>
      </c>
      <c r="J16" s="175">
        <f t="shared" si="3"/>
        <v>741</v>
      </c>
      <c r="K16" s="175">
        <f t="shared" si="4"/>
        <v>0</v>
      </c>
      <c r="L16" s="75">
        <f t="shared" si="5"/>
        <v>167</v>
      </c>
      <c r="N16" s="194">
        <v>455</v>
      </c>
      <c r="O16" s="217">
        <v>466</v>
      </c>
      <c r="P16" s="198">
        <v>375</v>
      </c>
      <c r="Q16" s="1"/>
      <c r="R16" s="182">
        <v>533</v>
      </c>
      <c r="S16" s="182">
        <f t="shared" si="6"/>
        <v>1.1437768240343347</v>
      </c>
    </row>
    <row r="17" spans="1:19" customFormat="1" ht="16.5" outlineLevel="1" thickBot="1" x14ac:dyDescent="0.3">
      <c r="A17" s="25" t="s">
        <v>12</v>
      </c>
      <c r="B17" s="70" t="s">
        <v>1863</v>
      </c>
      <c r="C17" s="94" t="s">
        <v>549</v>
      </c>
      <c r="D17" s="123">
        <f t="shared" si="0"/>
        <v>1950.8333333333335</v>
      </c>
      <c r="E17" s="123">
        <f t="shared" si="1"/>
        <v>390.16666666666674</v>
      </c>
      <c r="F17" s="123">
        <f t="shared" si="2"/>
        <v>2341</v>
      </c>
      <c r="G17" s="75">
        <v>1995</v>
      </c>
      <c r="H17" s="75">
        <v>1662.5</v>
      </c>
      <c r="I17" s="75">
        <v>332.5</v>
      </c>
      <c r="J17" s="175">
        <f t="shared" si="3"/>
        <v>1995</v>
      </c>
      <c r="K17" s="175">
        <f t="shared" si="4"/>
        <v>0</v>
      </c>
      <c r="L17" s="75">
        <f t="shared" si="5"/>
        <v>346</v>
      </c>
      <c r="N17" s="194">
        <v>1690</v>
      </c>
      <c r="O17" s="217">
        <v>1720</v>
      </c>
      <c r="P17" s="198">
        <v>375</v>
      </c>
      <c r="Q17" s="1"/>
      <c r="R17" s="182">
        <v>1966</v>
      </c>
      <c r="S17" s="182">
        <f t="shared" si="6"/>
        <v>1.1430232558139535</v>
      </c>
    </row>
    <row r="18" spans="1:19" s="83" customFormat="1" ht="19.5" thickBot="1" x14ac:dyDescent="0.25">
      <c r="A18" s="407" t="s">
        <v>1904</v>
      </c>
      <c r="B18" s="452"/>
      <c r="C18" s="452"/>
      <c r="D18" s="452"/>
      <c r="E18" s="452"/>
      <c r="F18" s="409"/>
      <c r="G18" s="75"/>
      <c r="H18" s="75"/>
      <c r="I18" s="75"/>
      <c r="J18" s="175"/>
      <c r="K18" s="175"/>
      <c r="L18" s="75"/>
      <c r="P18" s="198"/>
      <c r="S18" s="182"/>
    </row>
    <row r="19" spans="1:19" customFormat="1" ht="16.5" outlineLevel="1" thickBot="1" x14ac:dyDescent="0.25">
      <c r="A19" s="25" t="s">
        <v>30</v>
      </c>
      <c r="B19" s="70" t="s">
        <v>1857</v>
      </c>
      <c r="C19" s="94" t="s">
        <v>549</v>
      </c>
      <c r="D19" s="123">
        <f t="shared" ref="D19:D24" si="7">F19/1.2</f>
        <v>1194.1666666666667</v>
      </c>
      <c r="E19" s="123">
        <f t="shared" si="1"/>
        <v>238.83333333333337</v>
      </c>
      <c r="F19" s="123">
        <f>R19+P19</f>
        <v>1433</v>
      </c>
      <c r="G19" s="75">
        <v>1201</v>
      </c>
      <c r="H19" s="75">
        <v>1000.83</v>
      </c>
      <c r="I19" s="75">
        <v>200.17</v>
      </c>
      <c r="J19" s="175">
        <f t="shared" si="3"/>
        <v>1201</v>
      </c>
      <c r="K19" s="175">
        <f t="shared" si="4"/>
        <v>0</v>
      </c>
      <c r="L19" s="75">
        <f t="shared" si="5"/>
        <v>232</v>
      </c>
      <c r="N19" s="194">
        <v>920</v>
      </c>
      <c r="O19" s="217">
        <v>926</v>
      </c>
      <c r="P19" s="198">
        <v>375</v>
      </c>
      <c r="Q19" s="182"/>
      <c r="R19" s="182">
        <v>1058</v>
      </c>
      <c r="S19" s="182">
        <f t="shared" si="6"/>
        <v>1.142548596112311</v>
      </c>
    </row>
    <row r="20" spans="1:19" customFormat="1" ht="16.5" outlineLevel="1" thickBot="1" x14ac:dyDescent="0.25">
      <c r="A20" s="25" t="s">
        <v>31</v>
      </c>
      <c r="B20" s="70" t="s">
        <v>1858</v>
      </c>
      <c r="C20" s="94" t="s">
        <v>549</v>
      </c>
      <c r="D20" s="123">
        <f t="shared" si="7"/>
        <v>816.66666666666674</v>
      </c>
      <c r="E20" s="123">
        <f t="shared" si="1"/>
        <v>163.33333333333337</v>
      </c>
      <c r="F20" s="123">
        <f t="shared" ref="F20:F24" si="8">R20+P20</f>
        <v>980</v>
      </c>
      <c r="G20" s="75">
        <v>804</v>
      </c>
      <c r="H20" s="75">
        <v>670</v>
      </c>
      <c r="I20" s="75">
        <v>134</v>
      </c>
      <c r="J20" s="175">
        <f t="shared" si="3"/>
        <v>804</v>
      </c>
      <c r="K20" s="175">
        <f t="shared" si="4"/>
        <v>0</v>
      </c>
      <c r="L20" s="75">
        <f t="shared" si="5"/>
        <v>176</v>
      </c>
      <c r="N20" s="194">
        <v>525</v>
      </c>
      <c r="O20" s="217">
        <v>529</v>
      </c>
      <c r="P20" s="198">
        <v>375</v>
      </c>
      <c r="Q20" s="182"/>
      <c r="R20" s="182">
        <v>605</v>
      </c>
      <c r="S20" s="182">
        <f t="shared" si="6"/>
        <v>1.1436672967863895</v>
      </c>
    </row>
    <row r="21" spans="1:19" customFormat="1" ht="16.5" outlineLevel="1" thickBot="1" x14ac:dyDescent="0.25">
      <c r="A21" s="25" t="s">
        <v>32</v>
      </c>
      <c r="B21" s="70" t="s">
        <v>1859</v>
      </c>
      <c r="C21" s="94" t="s">
        <v>549</v>
      </c>
      <c r="D21" s="123">
        <f t="shared" si="7"/>
        <v>816.66666666666674</v>
      </c>
      <c r="E21" s="123">
        <f t="shared" si="1"/>
        <v>163.33333333333337</v>
      </c>
      <c r="F21" s="123">
        <f t="shared" si="8"/>
        <v>980</v>
      </c>
      <c r="G21" s="75">
        <v>804</v>
      </c>
      <c r="H21" s="75">
        <v>670</v>
      </c>
      <c r="I21" s="75">
        <v>134</v>
      </c>
      <c r="J21" s="175">
        <f t="shared" si="3"/>
        <v>804</v>
      </c>
      <c r="K21" s="175">
        <f t="shared" si="4"/>
        <v>0</v>
      </c>
      <c r="L21" s="75">
        <f t="shared" si="5"/>
        <v>176</v>
      </c>
      <c r="N21" s="194">
        <v>525</v>
      </c>
      <c r="O21" s="217">
        <v>529</v>
      </c>
      <c r="P21" s="198">
        <v>375</v>
      </c>
      <c r="Q21" s="182"/>
      <c r="R21" s="182">
        <v>605</v>
      </c>
      <c r="S21" s="182">
        <f t="shared" si="6"/>
        <v>1.1436672967863895</v>
      </c>
    </row>
    <row r="22" spans="1:19" customFormat="1" ht="32.25" outlineLevel="1" thickBot="1" x14ac:dyDescent="0.25">
      <c r="A22" s="25" t="s">
        <v>33</v>
      </c>
      <c r="B22" s="70" t="s">
        <v>1860</v>
      </c>
      <c r="C22" s="94" t="s">
        <v>549</v>
      </c>
      <c r="D22" s="123">
        <f t="shared" si="7"/>
        <v>1260.8333333333335</v>
      </c>
      <c r="E22" s="123">
        <f t="shared" si="1"/>
        <v>252.16666666666671</v>
      </c>
      <c r="F22" s="123">
        <f t="shared" si="8"/>
        <v>1513</v>
      </c>
      <c r="G22" s="75">
        <v>1270</v>
      </c>
      <c r="H22" s="75">
        <v>1058.33</v>
      </c>
      <c r="I22" s="75">
        <v>211.67</v>
      </c>
      <c r="J22" s="175">
        <f t="shared" si="3"/>
        <v>1270</v>
      </c>
      <c r="K22" s="175">
        <f t="shared" si="4"/>
        <v>0</v>
      </c>
      <c r="L22" s="75">
        <f t="shared" si="5"/>
        <v>243</v>
      </c>
      <c r="N22" s="194">
        <v>975</v>
      </c>
      <c r="O22" s="217">
        <v>995</v>
      </c>
      <c r="P22" s="198">
        <v>375</v>
      </c>
      <c r="Q22" s="182"/>
      <c r="R22" s="182">
        <v>1138</v>
      </c>
      <c r="S22" s="182">
        <f t="shared" si="6"/>
        <v>1.1437185929648241</v>
      </c>
    </row>
    <row r="23" spans="1:19" customFormat="1" ht="16.5" outlineLevel="1" thickBot="1" x14ac:dyDescent="0.25">
      <c r="A23" s="25" t="s">
        <v>1925</v>
      </c>
      <c r="B23" s="70" t="s">
        <v>1861</v>
      </c>
      <c r="C23" s="94" t="s">
        <v>549</v>
      </c>
      <c r="D23" s="123">
        <f t="shared" si="7"/>
        <v>504.16666666666669</v>
      </c>
      <c r="E23" s="123">
        <f t="shared" si="1"/>
        <v>100.83333333333334</v>
      </c>
      <c r="F23" s="123">
        <f t="shared" si="8"/>
        <v>605</v>
      </c>
      <c r="G23" s="75">
        <v>477</v>
      </c>
      <c r="H23" s="75">
        <v>397.5</v>
      </c>
      <c r="I23" s="75">
        <v>79.5</v>
      </c>
      <c r="J23" s="175">
        <f t="shared" si="3"/>
        <v>477</v>
      </c>
      <c r="K23" s="175">
        <f t="shared" si="4"/>
        <v>0</v>
      </c>
      <c r="L23" s="75">
        <f t="shared" si="5"/>
        <v>128</v>
      </c>
      <c r="N23" s="194">
        <v>195</v>
      </c>
      <c r="O23" s="217">
        <v>202</v>
      </c>
      <c r="P23" s="198">
        <v>375</v>
      </c>
      <c r="Q23" s="182"/>
      <c r="R23" s="182">
        <v>230</v>
      </c>
      <c r="S23" s="182">
        <f t="shared" si="6"/>
        <v>1.1386138613861385</v>
      </c>
    </row>
    <row r="24" spans="1:19" customFormat="1" ht="16.5" outlineLevel="1" thickBot="1" x14ac:dyDescent="0.25">
      <c r="A24" s="25" t="s">
        <v>1926</v>
      </c>
      <c r="B24" s="70" t="s">
        <v>1862</v>
      </c>
      <c r="C24" s="94" t="s">
        <v>549</v>
      </c>
      <c r="D24" s="123">
        <f t="shared" si="7"/>
        <v>425</v>
      </c>
      <c r="E24" s="123">
        <f t="shared" si="1"/>
        <v>85</v>
      </c>
      <c r="F24" s="123">
        <f t="shared" si="8"/>
        <v>510</v>
      </c>
      <c r="G24" s="75">
        <v>382</v>
      </c>
      <c r="H24" s="75">
        <v>318.33</v>
      </c>
      <c r="I24" s="75">
        <v>63.67</v>
      </c>
      <c r="J24" s="175">
        <f t="shared" si="3"/>
        <v>382</v>
      </c>
      <c r="K24" s="175">
        <f t="shared" si="4"/>
        <v>0</v>
      </c>
      <c r="L24" s="75">
        <f t="shared" si="5"/>
        <v>128</v>
      </c>
      <c r="N24" s="194">
        <v>65</v>
      </c>
      <c r="O24" s="217">
        <v>107</v>
      </c>
      <c r="P24" s="198">
        <v>375</v>
      </c>
      <c r="Q24" s="182"/>
      <c r="R24" s="182">
        <v>135</v>
      </c>
      <c r="S24" s="182">
        <f t="shared" si="6"/>
        <v>1.2616822429906542</v>
      </c>
    </row>
    <row r="25" spans="1:19" s="83" customFormat="1" ht="18.75" x14ac:dyDescent="0.2">
      <c r="A25" s="407" t="s">
        <v>1905</v>
      </c>
      <c r="B25" s="452"/>
      <c r="C25" s="452"/>
      <c r="D25" s="452"/>
      <c r="E25" s="452"/>
      <c r="F25" s="409"/>
      <c r="G25" s="75"/>
      <c r="H25" s="75"/>
      <c r="I25" s="75"/>
      <c r="J25" s="175"/>
      <c r="K25" s="175"/>
      <c r="L25" s="75"/>
      <c r="P25" s="198"/>
      <c r="S25" s="182"/>
    </row>
    <row r="26" spans="1:19" customFormat="1" outlineLevel="1" x14ac:dyDescent="0.2">
      <c r="A26" s="25" t="s">
        <v>235</v>
      </c>
      <c r="B26" s="70" t="s">
        <v>1613</v>
      </c>
      <c r="C26" s="94" t="s">
        <v>549</v>
      </c>
      <c r="D26" s="123">
        <f t="shared" ref="D26:D42" si="9">F26/1.2</f>
        <v>882.5</v>
      </c>
      <c r="E26" s="123">
        <f t="shared" si="1"/>
        <v>176.5</v>
      </c>
      <c r="F26" s="123">
        <f>R26+P26</f>
        <v>1059</v>
      </c>
      <c r="G26" s="75">
        <v>874</v>
      </c>
      <c r="H26" s="75">
        <v>728.33</v>
      </c>
      <c r="I26" s="75">
        <v>145.66999999999999</v>
      </c>
      <c r="J26" s="175">
        <f t="shared" si="3"/>
        <v>874</v>
      </c>
      <c r="K26" s="175">
        <f t="shared" si="4"/>
        <v>0</v>
      </c>
      <c r="L26" s="75">
        <f t="shared" si="5"/>
        <v>185</v>
      </c>
      <c r="O26" s="217">
        <v>599</v>
      </c>
      <c r="P26" s="198">
        <v>375</v>
      </c>
      <c r="R26" s="182">
        <v>684</v>
      </c>
      <c r="S26" s="182">
        <f t="shared" si="6"/>
        <v>1.1419031719532555</v>
      </c>
    </row>
    <row r="27" spans="1:19" customFormat="1" outlineLevel="1" x14ac:dyDescent="0.2">
      <c r="A27" s="25" t="s">
        <v>39</v>
      </c>
      <c r="B27" s="70" t="s">
        <v>1612</v>
      </c>
      <c r="C27" s="94" t="s">
        <v>549</v>
      </c>
      <c r="D27" s="123">
        <f t="shared" si="9"/>
        <v>882.5</v>
      </c>
      <c r="E27" s="123">
        <f t="shared" si="1"/>
        <v>176.5</v>
      </c>
      <c r="F27" s="123">
        <f t="shared" ref="F27:F42" si="10">R27+P27</f>
        <v>1059</v>
      </c>
      <c r="G27" s="75">
        <v>874</v>
      </c>
      <c r="H27" s="75">
        <v>728.33</v>
      </c>
      <c r="I27" s="75">
        <v>145.66999999999999</v>
      </c>
      <c r="J27" s="175">
        <f t="shared" si="3"/>
        <v>874</v>
      </c>
      <c r="K27" s="175">
        <f t="shared" si="4"/>
        <v>0</v>
      </c>
      <c r="L27" s="75">
        <f t="shared" si="5"/>
        <v>185</v>
      </c>
      <c r="O27" s="217">
        <v>599</v>
      </c>
      <c r="P27" s="198">
        <v>375</v>
      </c>
      <c r="R27" s="182">
        <v>684</v>
      </c>
      <c r="S27" s="182">
        <f t="shared" si="6"/>
        <v>1.1419031719532555</v>
      </c>
    </row>
    <row r="28" spans="1:19" customFormat="1" outlineLevel="1" x14ac:dyDescent="0.2">
      <c r="A28" s="25" t="s">
        <v>41</v>
      </c>
      <c r="B28" s="70" t="s">
        <v>1614</v>
      </c>
      <c r="C28" s="94" t="s">
        <v>549</v>
      </c>
      <c r="D28" s="123">
        <f t="shared" si="9"/>
        <v>1320.8333333333335</v>
      </c>
      <c r="E28" s="123">
        <f t="shared" si="1"/>
        <v>264.16666666666669</v>
      </c>
      <c r="F28" s="123">
        <f t="shared" si="10"/>
        <v>1585</v>
      </c>
      <c r="G28" s="75">
        <v>1333</v>
      </c>
      <c r="H28" s="75">
        <v>1110.83</v>
      </c>
      <c r="I28" s="75">
        <v>222.17</v>
      </c>
      <c r="J28" s="175">
        <f t="shared" si="3"/>
        <v>1333</v>
      </c>
      <c r="K28" s="175">
        <f t="shared" si="4"/>
        <v>0</v>
      </c>
      <c r="L28" s="75">
        <f t="shared" si="5"/>
        <v>252</v>
      </c>
      <c r="O28" s="217">
        <v>1058</v>
      </c>
      <c r="P28" s="198">
        <v>375</v>
      </c>
      <c r="R28" s="182">
        <v>1210</v>
      </c>
      <c r="S28" s="182">
        <f t="shared" si="6"/>
        <v>1.1436672967863895</v>
      </c>
    </row>
    <row r="29" spans="1:19" customFormat="1" outlineLevel="1" x14ac:dyDescent="0.2">
      <c r="A29" s="25" t="s">
        <v>236</v>
      </c>
      <c r="B29" s="70" t="s">
        <v>1615</v>
      </c>
      <c r="C29" s="94" t="s">
        <v>549</v>
      </c>
      <c r="D29" s="123">
        <f t="shared" si="9"/>
        <v>1502.5</v>
      </c>
      <c r="E29" s="123">
        <f t="shared" si="1"/>
        <v>300.5</v>
      </c>
      <c r="F29" s="123">
        <f t="shared" si="10"/>
        <v>1803</v>
      </c>
      <c r="G29" s="75">
        <v>1317</v>
      </c>
      <c r="H29" s="75">
        <v>1097.5</v>
      </c>
      <c r="I29" s="75">
        <v>219.5</v>
      </c>
      <c r="J29" s="175">
        <f t="shared" si="3"/>
        <v>1317</v>
      </c>
      <c r="K29" s="175">
        <f t="shared" si="4"/>
        <v>0</v>
      </c>
      <c r="L29" s="75">
        <f t="shared" si="5"/>
        <v>486</v>
      </c>
      <c r="O29" s="217">
        <v>1042</v>
      </c>
      <c r="P29" s="198">
        <v>375</v>
      </c>
      <c r="R29" s="182">
        <v>1428</v>
      </c>
      <c r="S29" s="182">
        <f t="shared" si="6"/>
        <v>1.3704414587332054</v>
      </c>
    </row>
    <row r="30" spans="1:19" customFormat="1" ht="16.5" outlineLevel="1" thickBot="1" x14ac:dyDescent="0.25">
      <c r="A30" s="25" t="s">
        <v>44</v>
      </c>
      <c r="B30" s="70" t="s">
        <v>1736</v>
      </c>
      <c r="C30" s="94" t="s">
        <v>549</v>
      </c>
      <c r="D30" s="123">
        <f t="shared" si="9"/>
        <v>1104.1666666666667</v>
      </c>
      <c r="E30" s="123">
        <f t="shared" si="1"/>
        <v>220.83333333333337</v>
      </c>
      <c r="F30" s="123">
        <f t="shared" si="10"/>
        <v>1325</v>
      </c>
      <c r="G30" s="75">
        <v>1106</v>
      </c>
      <c r="H30" s="75">
        <v>921.67</v>
      </c>
      <c r="I30" s="75">
        <v>184.33</v>
      </c>
      <c r="J30" s="175">
        <f t="shared" si="3"/>
        <v>1106</v>
      </c>
      <c r="K30" s="175">
        <f t="shared" si="4"/>
        <v>0</v>
      </c>
      <c r="L30" s="75">
        <f t="shared" si="5"/>
        <v>219</v>
      </c>
      <c r="O30" s="217">
        <v>831</v>
      </c>
      <c r="P30" s="198">
        <v>375</v>
      </c>
      <c r="R30" s="182">
        <v>950</v>
      </c>
      <c r="S30" s="182">
        <f t="shared" si="6"/>
        <v>1.1432009626955475</v>
      </c>
    </row>
    <row r="31" spans="1:19" customFormat="1" ht="16.5" outlineLevel="1" thickBot="1" x14ac:dyDescent="0.25">
      <c r="A31" s="25" t="s">
        <v>46</v>
      </c>
      <c r="B31" s="70" t="s">
        <v>1758</v>
      </c>
      <c r="C31" s="94" t="s">
        <v>549</v>
      </c>
      <c r="D31" s="123">
        <f t="shared" si="9"/>
        <v>882.5</v>
      </c>
      <c r="E31" s="123">
        <f t="shared" si="1"/>
        <v>176.5</v>
      </c>
      <c r="F31" s="123">
        <f t="shared" si="10"/>
        <v>1059</v>
      </c>
      <c r="G31" s="75">
        <v>874</v>
      </c>
      <c r="H31" s="75">
        <v>728.33</v>
      </c>
      <c r="I31" s="75">
        <v>145.66999999999999</v>
      </c>
      <c r="J31" s="175">
        <f t="shared" si="3"/>
        <v>874</v>
      </c>
      <c r="K31" s="175">
        <f t="shared" si="4"/>
        <v>0</v>
      </c>
      <c r="L31" s="75">
        <f t="shared" si="5"/>
        <v>185</v>
      </c>
      <c r="N31" s="194">
        <v>585</v>
      </c>
      <c r="O31" s="217">
        <v>599</v>
      </c>
      <c r="P31" s="198">
        <v>375</v>
      </c>
      <c r="R31" s="182">
        <v>684</v>
      </c>
      <c r="S31" s="182">
        <f t="shared" si="6"/>
        <v>1.1419031719532555</v>
      </c>
    </row>
    <row r="32" spans="1:19" customFormat="1" ht="16.5" outlineLevel="1" thickBot="1" x14ac:dyDescent="0.25">
      <c r="A32" s="25" t="s">
        <v>264</v>
      </c>
      <c r="B32" s="70" t="s">
        <v>1108</v>
      </c>
      <c r="C32" s="94" t="s">
        <v>549</v>
      </c>
      <c r="D32" s="123">
        <f t="shared" si="9"/>
        <v>882.5</v>
      </c>
      <c r="E32" s="123">
        <f t="shared" si="1"/>
        <v>176.5</v>
      </c>
      <c r="F32" s="123">
        <f t="shared" si="10"/>
        <v>1059</v>
      </c>
      <c r="G32" s="75">
        <v>874</v>
      </c>
      <c r="H32" s="75">
        <v>728.33</v>
      </c>
      <c r="I32" s="75">
        <v>145.66999999999999</v>
      </c>
      <c r="J32" s="175">
        <f t="shared" si="3"/>
        <v>874</v>
      </c>
      <c r="K32" s="175">
        <f t="shared" si="4"/>
        <v>0</v>
      </c>
      <c r="L32" s="75">
        <f t="shared" si="5"/>
        <v>185</v>
      </c>
      <c r="N32" s="194">
        <v>585</v>
      </c>
      <c r="O32" s="217">
        <v>599</v>
      </c>
      <c r="P32" s="198">
        <v>375</v>
      </c>
      <c r="R32" s="182">
        <v>684</v>
      </c>
      <c r="S32" s="182">
        <f t="shared" si="6"/>
        <v>1.1419031719532555</v>
      </c>
    </row>
    <row r="33" spans="1:19" customFormat="1" ht="16.5" outlineLevel="1" thickBot="1" x14ac:dyDescent="0.25">
      <c r="A33" s="25" t="s">
        <v>309</v>
      </c>
      <c r="B33" s="70" t="s">
        <v>1752</v>
      </c>
      <c r="C33" s="94" t="s">
        <v>549</v>
      </c>
      <c r="D33" s="123">
        <f t="shared" si="9"/>
        <v>882.5</v>
      </c>
      <c r="E33" s="123">
        <f t="shared" si="1"/>
        <v>176.5</v>
      </c>
      <c r="F33" s="123">
        <f t="shared" si="10"/>
        <v>1059</v>
      </c>
      <c r="G33" s="75">
        <v>874</v>
      </c>
      <c r="H33" s="75">
        <v>728.33</v>
      </c>
      <c r="I33" s="75">
        <v>145.66999999999999</v>
      </c>
      <c r="J33" s="175">
        <f t="shared" si="3"/>
        <v>874</v>
      </c>
      <c r="K33" s="175">
        <f t="shared" si="4"/>
        <v>0</v>
      </c>
      <c r="L33" s="75">
        <f t="shared" si="5"/>
        <v>185</v>
      </c>
      <c r="N33" s="194">
        <v>585</v>
      </c>
      <c r="O33" s="217">
        <v>599</v>
      </c>
      <c r="P33" s="198">
        <v>375</v>
      </c>
      <c r="R33" s="182">
        <v>684</v>
      </c>
      <c r="S33" s="182">
        <f t="shared" si="6"/>
        <v>1.1419031719532555</v>
      </c>
    </row>
    <row r="34" spans="1:19" customFormat="1" ht="16.5" outlineLevel="1" thickBot="1" x14ac:dyDescent="0.25">
      <c r="A34" s="25" t="s">
        <v>310</v>
      </c>
      <c r="B34" s="70" t="s">
        <v>1107</v>
      </c>
      <c r="C34" s="94" t="s">
        <v>549</v>
      </c>
      <c r="D34" s="123">
        <f t="shared" si="9"/>
        <v>882.5</v>
      </c>
      <c r="E34" s="123">
        <f t="shared" si="1"/>
        <v>176.5</v>
      </c>
      <c r="F34" s="123">
        <f t="shared" si="10"/>
        <v>1059</v>
      </c>
      <c r="G34" s="75">
        <v>874</v>
      </c>
      <c r="H34" s="75">
        <v>728.33</v>
      </c>
      <c r="I34" s="75">
        <v>145.66999999999999</v>
      </c>
      <c r="J34" s="175">
        <f t="shared" si="3"/>
        <v>874</v>
      </c>
      <c r="K34" s="175">
        <f t="shared" si="4"/>
        <v>0</v>
      </c>
      <c r="L34" s="75">
        <f t="shared" si="5"/>
        <v>185</v>
      </c>
      <c r="N34" s="194">
        <v>585</v>
      </c>
      <c r="O34" s="217">
        <v>599</v>
      </c>
      <c r="P34" s="198">
        <v>375</v>
      </c>
      <c r="R34" s="182">
        <v>684</v>
      </c>
      <c r="S34" s="182">
        <f t="shared" si="6"/>
        <v>1.1419031719532555</v>
      </c>
    </row>
    <row r="35" spans="1:19" customFormat="1" ht="16.5" outlineLevel="1" thickBot="1" x14ac:dyDescent="0.25">
      <c r="A35" s="25" t="s">
        <v>311</v>
      </c>
      <c r="B35" s="70" t="s">
        <v>1753</v>
      </c>
      <c r="C35" s="94" t="s">
        <v>549</v>
      </c>
      <c r="D35" s="123">
        <f t="shared" si="9"/>
        <v>1068.3333333333335</v>
      </c>
      <c r="E35" s="123">
        <f t="shared" si="1"/>
        <v>213.66666666666671</v>
      </c>
      <c r="F35" s="123">
        <f t="shared" si="10"/>
        <v>1282</v>
      </c>
      <c r="G35" s="75">
        <v>1069</v>
      </c>
      <c r="H35" s="75">
        <v>890.83</v>
      </c>
      <c r="I35" s="75">
        <v>178.17</v>
      </c>
      <c r="J35" s="175">
        <f t="shared" si="3"/>
        <v>1069</v>
      </c>
      <c r="K35" s="175">
        <f t="shared" si="4"/>
        <v>0</v>
      </c>
      <c r="L35" s="75">
        <f t="shared" si="5"/>
        <v>213</v>
      </c>
      <c r="N35" s="194">
        <v>780</v>
      </c>
      <c r="O35" s="217">
        <v>794</v>
      </c>
      <c r="P35" s="198">
        <v>375</v>
      </c>
      <c r="R35" s="182">
        <v>907</v>
      </c>
      <c r="S35" s="182">
        <f t="shared" si="6"/>
        <v>1.1423173803526447</v>
      </c>
    </row>
    <row r="36" spans="1:19" customFormat="1" ht="16.5" outlineLevel="1" thickBot="1" x14ac:dyDescent="0.25">
      <c r="A36" s="25" t="s">
        <v>312</v>
      </c>
      <c r="B36" s="70" t="s">
        <v>1754</v>
      </c>
      <c r="C36" s="94" t="s">
        <v>549</v>
      </c>
      <c r="D36" s="123">
        <f t="shared" si="9"/>
        <v>1325.8333333333335</v>
      </c>
      <c r="E36" s="123">
        <f t="shared" si="1"/>
        <v>265.16666666666669</v>
      </c>
      <c r="F36" s="123">
        <f t="shared" si="10"/>
        <v>1591</v>
      </c>
      <c r="G36" s="75">
        <v>1339</v>
      </c>
      <c r="H36" s="75">
        <v>1115.83</v>
      </c>
      <c r="I36" s="75">
        <v>223.17</v>
      </c>
      <c r="J36" s="175">
        <f t="shared" si="3"/>
        <v>1339</v>
      </c>
      <c r="K36" s="175">
        <f t="shared" si="4"/>
        <v>0</v>
      </c>
      <c r="L36" s="75">
        <f t="shared" si="5"/>
        <v>252</v>
      </c>
      <c r="N36" s="194">
        <v>1040</v>
      </c>
      <c r="O36" s="217">
        <v>1064</v>
      </c>
      <c r="P36" s="198">
        <v>375</v>
      </c>
      <c r="R36" s="182">
        <v>1216</v>
      </c>
      <c r="S36" s="182">
        <f t="shared" si="6"/>
        <v>1.1428571428571428</v>
      </c>
    </row>
    <row r="37" spans="1:19" customFormat="1" ht="16.5" outlineLevel="1" thickBot="1" x14ac:dyDescent="0.25">
      <c r="A37" s="25" t="s">
        <v>313</v>
      </c>
      <c r="B37" s="70" t="s">
        <v>1755</v>
      </c>
      <c r="C37" s="94" t="s">
        <v>549</v>
      </c>
      <c r="D37" s="123">
        <f t="shared" si="9"/>
        <v>1134.1666666666667</v>
      </c>
      <c r="E37" s="123">
        <f t="shared" si="1"/>
        <v>226.83333333333337</v>
      </c>
      <c r="F37" s="123">
        <f t="shared" si="10"/>
        <v>1361</v>
      </c>
      <c r="G37" s="75">
        <v>1138</v>
      </c>
      <c r="H37" s="75">
        <v>948.33</v>
      </c>
      <c r="I37" s="75">
        <v>189.67</v>
      </c>
      <c r="J37" s="175">
        <f t="shared" si="3"/>
        <v>1138</v>
      </c>
      <c r="K37" s="175">
        <f t="shared" si="4"/>
        <v>0</v>
      </c>
      <c r="L37" s="75">
        <f t="shared" si="5"/>
        <v>223</v>
      </c>
      <c r="N37" s="194">
        <v>845</v>
      </c>
      <c r="O37" s="217">
        <v>863</v>
      </c>
      <c r="P37" s="198">
        <v>375</v>
      </c>
      <c r="R37" s="182">
        <v>986</v>
      </c>
      <c r="S37" s="182">
        <f t="shared" si="6"/>
        <v>1.1425260718424102</v>
      </c>
    </row>
    <row r="38" spans="1:19" customFormat="1" ht="16.5" outlineLevel="1" thickBot="1" x14ac:dyDescent="0.25">
      <c r="A38" s="25" t="s">
        <v>314</v>
      </c>
      <c r="B38" s="70" t="s">
        <v>1756</v>
      </c>
      <c r="C38" s="94" t="s">
        <v>549</v>
      </c>
      <c r="D38" s="123">
        <f t="shared" si="9"/>
        <v>1134.1666666666667</v>
      </c>
      <c r="E38" s="123">
        <f t="shared" si="1"/>
        <v>226.83333333333337</v>
      </c>
      <c r="F38" s="123">
        <f t="shared" si="10"/>
        <v>1361</v>
      </c>
      <c r="G38" s="75">
        <v>1138</v>
      </c>
      <c r="H38" s="75">
        <v>948.33</v>
      </c>
      <c r="I38" s="75">
        <v>189.67</v>
      </c>
      <c r="J38" s="175">
        <f t="shared" si="3"/>
        <v>1138</v>
      </c>
      <c r="K38" s="175">
        <f t="shared" si="4"/>
        <v>0</v>
      </c>
      <c r="L38" s="75">
        <f t="shared" si="5"/>
        <v>223</v>
      </c>
      <c r="N38" s="194">
        <v>845</v>
      </c>
      <c r="O38" s="217">
        <v>863</v>
      </c>
      <c r="P38" s="198">
        <v>375</v>
      </c>
      <c r="R38" s="182">
        <v>986</v>
      </c>
      <c r="S38" s="182">
        <f t="shared" si="6"/>
        <v>1.1425260718424102</v>
      </c>
    </row>
    <row r="39" spans="1:19" customFormat="1" ht="16.5" outlineLevel="1" thickBot="1" x14ac:dyDescent="0.25">
      <c r="A39" s="25" t="s">
        <v>315</v>
      </c>
      <c r="B39" s="70" t="s">
        <v>1759</v>
      </c>
      <c r="C39" s="94" t="s">
        <v>549</v>
      </c>
      <c r="D39" s="123">
        <f t="shared" si="9"/>
        <v>1673.3333333333335</v>
      </c>
      <c r="E39" s="123">
        <f t="shared" si="1"/>
        <v>334.66666666666674</v>
      </c>
      <c r="F39" s="123">
        <f t="shared" si="10"/>
        <v>2008</v>
      </c>
      <c r="G39" s="75">
        <v>1730</v>
      </c>
      <c r="H39" s="75">
        <v>1441.67</v>
      </c>
      <c r="I39" s="75">
        <v>288.33</v>
      </c>
      <c r="J39" s="175">
        <f t="shared" si="3"/>
        <v>1730</v>
      </c>
      <c r="K39" s="175">
        <f t="shared" si="4"/>
        <v>0</v>
      </c>
      <c r="L39" s="75">
        <f t="shared" si="5"/>
        <v>278</v>
      </c>
      <c r="N39" s="194">
        <v>1430</v>
      </c>
      <c r="O39" s="217">
        <v>1455</v>
      </c>
      <c r="P39" s="198">
        <v>375</v>
      </c>
      <c r="R39" s="182">
        <v>1633</v>
      </c>
      <c r="S39" s="182">
        <f t="shared" si="6"/>
        <v>1.1223367697594502</v>
      </c>
    </row>
    <row r="40" spans="1:19" customFormat="1" ht="16.5" outlineLevel="1" thickBot="1" x14ac:dyDescent="0.25">
      <c r="A40" s="25" t="s">
        <v>316</v>
      </c>
      <c r="B40" s="181" t="s">
        <v>3578</v>
      </c>
      <c r="C40" s="94" t="s">
        <v>549</v>
      </c>
      <c r="D40" s="123">
        <f t="shared" si="9"/>
        <v>1194.1666666666667</v>
      </c>
      <c r="E40" s="123">
        <f t="shared" si="1"/>
        <v>238.83333333333337</v>
      </c>
      <c r="F40" s="123">
        <f t="shared" si="10"/>
        <v>1433</v>
      </c>
      <c r="G40" s="75">
        <v>1201</v>
      </c>
      <c r="H40" s="75">
        <v>1000.83</v>
      </c>
      <c r="I40" s="75">
        <v>200.17</v>
      </c>
      <c r="J40" s="175">
        <f t="shared" si="3"/>
        <v>1201</v>
      </c>
      <c r="K40" s="175">
        <f t="shared" si="4"/>
        <v>0</v>
      </c>
      <c r="L40" s="75">
        <f t="shared" si="5"/>
        <v>232</v>
      </c>
      <c r="N40" s="194">
        <v>910</v>
      </c>
      <c r="O40" s="217">
        <v>926</v>
      </c>
      <c r="P40" s="198">
        <v>375</v>
      </c>
      <c r="R40" s="182">
        <v>1058</v>
      </c>
      <c r="S40" s="182">
        <f t="shared" si="6"/>
        <v>1.142548596112311</v>
      </c>
    </row>
    <row r="41" spans="1:19" customFormat="1" ht="16.5" outlineLevel="1" thickBot="1" x14ac:dyDescent="0.25">
      <c r="A41" s="25" t="s">
        <v>1600</v>
      </c>
      <c r="B41" s="70" t="s">
        <v>1760</v>
      </c>
      <c r="C41" s="94" t="s">
        <v>549</v>
      </c>
      <c r="D41" s="123">
        <f t="shared" si="9"/>
        <v>1446.6666666666667</v>
      </c>
      <c r="E41" s="123">
        <f t="shared" si="1"/>
        <v>289.33333333333337</v>
      </c>
      <c r="F41" s="123">
        <f t="shared" si="10"/>
        <v>1736</v>
      </c>
      <c r="G41" s="75">
        <v>1466</v>
      </c>
      <c r="H41" s="75">
        <v>1221.67</v>
      </c>
      <c r="I41" s="75">
        <v>244.33</v>
      </c>
      <c r="J41" s="175">
        <f t="shared" si="3"/>
        <v>1466</v>
      </c>
      <c r="K41" s="175">
        <f t="shared" si="4"/>
        <v>0</v>
      </c>
      <c r="L41" s="75">
        <f t="shared" si="5"/>
        <v>270</v>
      </c>
      <c r="N41" s="194">
        <v>1170</v>
      </c>
      <c r="O41" s="217">
        <v>1191</v>
      </c>
      <c r="P41" s="198">
        <v>375</v>
      </c>
      <c r="R41" s="182">
        <v>1361</v>
      </c>
      <c r="S41" s="182">
        <f t="shared" si="6"/>
        <v>1.1427371956339212</v>
      </c>
    </row>
    <row r="42" spans="1:19" customFormat="1" ht="16.5" outlineLevel="1" thickBot="1" x14ac:dyDescent="0.25">
      <c r="A42" s="25" t="s">
        <v>1609</v>
      </c>
      <c r="B42" s="70" t="s">
        <v>1757</v>
      </c>
      <c r="C42" s="94" t="s">
        <v>549</v>
      </c>
      <c r="D42" s="123">
        <f t="shared" si="9"/>
        <v>882.5</v>
      </c>
      <c r="E42" s="123">
        <f t="shared" si="1"/>
        <v>176.5</v>
      </c>
      <c r="F42" s="123">
        <f t="shared" si="10"/>
        <v>1059</v>
      </c>
      <c r="G42" s="75">
        <v>874</v>
      </c>
      <c r="H42" s="75">
        <v>728.33</v>
      </c>
      <c r="I42" s="75">
        <v>145.66999999999999</v>
      </c>
      <c r="J42" s="175">
        <f t="shared" si="3"/>
        <v>874</v>
      </c>
      <c r="K42" s="175">
        <f t="shared" si="4"/>
        <v>0</v>
      </c>
      <c r="L42" s="75">
        <f t="shared" si="5"/>
        <v>185</v>
      </c>
      <c r="N42" s="194">
        <v>585</v>
      </c>
      <c r="O42" s="217">
        <v>599</v>
      </c>
      <c r="P42" s="198">
        <v>375</v>
      </c>
      <c r="R42" s="182">
        <v>684</v>
      </c>
      <c r="S42" s="182">
        <f t="shared" si="6"/>
        <v>1.1419031719532555</v>
      </c>
    </row>
    <row r="43" spans="1:19" s="83" customFormat="1" ht="19.5" thickBot="1" x14ac:dyDescent="0.25">
      <c r="A43" s="407" t="s">
        <v>1906</v>
      </c>
      <c r="B43" s="452"/>
      <c r="C43" s="452"/>
      <c r="D43" s="452"/>
      <c r="E43" s="452"/>
      <c r="F43" s="409"/>
      <c r="G43" s="75"/>
      <c r="H43" s="75"/>
      <c r="I43" s="75"/>
      <c r="J43" s="175"/>
      <c r="K43" s="175"/>
      <c r="L43" s="75"/>
      <c r="P43" s="198"/>
      <c r="S43" s="182"/>
    </row>
    <row r="44" spans="1:19" customFormat="1" ht="16.5" outlineLevel="1" thickBot="1" x14ac:dyDescent="0.25">
      <c r="A44" s="25" t="s">
        <v>164</v>
      </c>
      <c r="B44" s="70" t="s">
        <v>1752</v>
      </c>
      <c r="C44" s="94" t="s">
        <v>549</v>
      </c>
      <c r="D44" s="123">
        <f t="shared" ref="D44:D47" si="11">F44/1.2</f>
        <v>882.5</v>
      </c>
      <c r="E44" s="123">
        <f t="shared" si="1"/>
        <v>176.5</v>
      </c>
      <c r="F44" s="123">
        <f>R44+P44</f>
        <v>1059</v>
      </c>
      <c r="G44" s="75">
        <v>874</v>
      </c>
      <c r="H44" s="75">
        <v>728.33</v>
      </c>
      <c r="I44" s="75">
        <v>145.66999999999999</v>
      </c>
      <c r="J44" s="175">
        <f t="shared" si="3"/>
        <v>874</v>
      </c>
      <c r="K44" s="175">
        <f t="shared" si="4"/>
        <v>0</v>
      </c>
      <c r="L44" s="75">
        <f t="shared" si="5"/>
        <v>185</v>
      </c>
      <c r="N44" s="194">
        <v>585</v>
      </c>
      <c r="O44" s="217">
        <v>599</v>
      </c>
      <c r="P44" s="198">
        <v>375</v>
      </c>
      <c r="Q44" s="182"/>
      <c r="R44" s="182">
        <v>684</v>
      </c>
      <c r="S44" s="182">
        <f t="shared" si="6"/>
        <v>1.1419031719532555</v>
      </c>
    </row>
    <row r="45" spans="1:19" customFormat="1" ht="16.5" outlineLevel="1" thickBot="1" x14ac:dyDescent="0.25">
      <c r="A45" s="25" t="s">
        <v>283</v>
      </c>
      <c r="B45" s="70" t="s">
        <v>1753</v>
      </c>
      <c r="C45" s="94" t="s">
        <v>549</v>
      </c>
      <c r="D45" s="123">
        <f t="shared" si="11"/>
        <v>1068.3333333333335</v>
      </c>
      <c r="E45" s="123">
        <f t="shared" si="1"/>
        <v>213.66666666666671</v>
      </c>
      <c r="F45" s="123">
        <f t="shared" ref="F45:F47" si="12">R45+P45</f>
        <v>1282</v>
      </c>
      <c r="G45" s="75">
        <v>1069</v>
      </c>
      <c r="H45" s="75">
        <v>890.83</v>
      </c>
      <c r="I45" s="75">
        <v>178.17</v>
      </c>
      <c r="J45" s="175">
        <f t="shared" si="3"/>
        <v>1069</v>
      </c>
      <c r="K45" s="175">
        <f t="shared" si="4"/>
        <v>0</v>
      </c>
      <c r="L45" s="75">
        <f t="shared" si="5"/>
        <v>213</v>
      </c>
      <c r="N45" s="194">
        <v>780</v>
      </c>
      <c r="O45" s="217">
        <v>794</v>
      </c>
      <c r="P45" s="198">
        <v>375</v>
      </c>
      <c r="Q45" s="182"/>
      <c r="R45" s="182">
        <v>907</v>
      </c>
      <c r="S45" s="182">
        <f t="shared" si="6"/>
        <v>1.1423173803526447</v>
      </c>
    </row>
    <row r="46" spans="1:19" customFormat="1" ht="16.5" outlineLevel="1" thickBot="1" x14ac:dyDescent="0.25">
      <c r="A46" s="25" t="s">
        <v>73</v>
      </c>
      <c r="B46" s="70" t="s">
        <v>1761</v>
      </c>
      <c r="C46" s="94" t="s">
        <v>549</v>
      </c>
      <c r="D46" s="123">
        <f t="shared" si="11"/>
        <v>1068.3333333333335</v>
      </c>
      <c r="E46" s="123">
        <f t="shared" si="1"/>
        <v>213.66666666666671</v>
      </c>
      <c r="F46" s="123">
        <f t="shared" si="12"/>
        <v>1282</v>
      </c>
      <c r="G46" s="75">
        <v>1069</v>
      </c>
      <c r="H46" s="75">
        <v>890.83</v>
      </c>
      <c r="I46" s="75">
        <v>178.17</v>
      </c>
      <c r="J46" s="175">
        <f t="shared" si="3"/>
        <v>1069</v>
      </c>
      <c r="K46" s="175">
        <f t="shared" si="4"/>
        <v>0</v>
      </c>
      <c r="L46" s="75">
        <f t="shared" si="5"/>
        <v>213</v>
      </c>
      <c r="N46" s="194">
        <v>780</v>
      </c>
      <c r="O46" s="217">
        <v>794</v>
      </c>
      <c r="P46" s="198">
        <v>375</v>
      </c>
      <c r="Q46" s="182"/>
      <c r="R46" s="182">
        <v>907</v>
      </c>
      <c r="S46" s="182">
        <f t="shared" si="6"/>
        <v>1.1423173803526447</v>
      </c>
    </row>
    <row r="47" spans="1:19" customFormat="1" ht="16.5" outlineLevel="1" thickBot="1" x14ac:dyDescent="0.25">
      <c r="A47" s="25" t="s">
        <v>74</v>
      </c>
      <c r="B47" s="70" t="s">
        <v>1762</v>
      </c>
      <c r="C47" s="94" t="s">
        <v>549</v>
      </c>
      <c r="D47" s="123">
        <f t="shared" si="11"/>
        <v>2285.8333333333335</v>
      </c>
      <c r="E47" s="123">
        <f t="shared" si="1"/>
        <v>457.16666666666674</v>
      </c>
      <c r="F47" s="123">
        <f t="shared" si="12"/>
        <v>2743</v>
      </c>
      <c r="G47" s="75">
        <v>2352</v>
      </c>
      <c r="H47" s="75">
        <v>1960</v>
      </c>
      <c r="I47" s="75">
        <v>392</v>
      </c>
      <c r="J47" s="175">
        <f t="shared" si="3"/>
        <v>2352</v>
      </c>
      <c r="K47" s="175">
        <f t="shared" si="4"/>
        <v>0</v>
      </c>
      <c r="L47" s="75">
        <f t="shared" si="5"/>
        <v>391</v>
      </c>
      <c r="N47" s="194">
        <v>1950</v>
      </c>
      <c r="O47" s="217">
        <v>2077</v>
      </c>
      <c r="P47" s="198">
        <v>375</v>
      </c>
      <c r="Q47" s="182"/>
      <c r="R47" s="182">
        <v>2368</v>
      </c>
      <c r="S47" s="182">
        <f t="shared" si="6"/>
        <v>1.1401059220028888</v>
      </c>
    </row>
    <row r="48" spans="1:19" s="83" customFormat="1" ht="19.5" thickBot="1" x14ac:dyDescent="0.25">
      <c r="A48" s="407" t="s">
        <v>1907</v>
      </c>
      <c r="B48" s="452"/>
      <c r="C48" s="452"/>
      <c r="D48" s="452"/>
      <c r="E48" s="452"/>
      <c r="F48" s="409"/>
      <c r="G48" s="75"/>
      <c r="H48" s="75"/>
      <c r="I48" s="75"/>
      <c r="J48" s="175"/>
      <c r="K48" s="175"/>
      <c r="L48" s="75"/>
      <c r="P48" s="198"/>
      <c r="S48" s="182"/>
    </row>
    <row r="49" spans="1:19" customFormat="1" ht="16.5" outlineLevel="1" thickBot="1" x14ac:dyDescent="0.25">
      <c r="A49" s="25" t="s">
        <v>84</v>
      </c>
      <c r="B49" s="70" t="s">
        <v>1763</v>
      </c>
      <c r="C49" s="94" t="s">
        <v>549</v>
      </c>
      <c r="D49" s="123">
        <f t="shared" ref="D49" si="13">F49/1.2</f>
        <v>1464.1666666666667</v>
      </c>
      <c r="E49" s="123">
        <f t="shared" si="1"/>
        <v>292.83333333333337</v>
      </c>
      <c r="F49" s="123">
        <f>R49+P49</f>
        <v>1757</v>
      </c>
      <c r="G49" s="75">
        <v>1283</v>
      </c>
      <c r="H49" s="75">
        <v>1069.17</v>
      </c>
      <c r="I49" s="75">
        <v>213.83</v>
      </c>
      <c r="J49" s="175">
        <f t="shared" si="3"/>
        <v>1283</v>
      </c>
      <c r="K49" s="175">
        <f t="shared" si="4"/>
        <v>0</v>
      </c>
      <c r="L49" s="75">
        <f t="shared" si="5"/>
        <v>474</v>
      </c>
      <c r="N49" s="194">
        <v>990</v>
      </c>
      <c r="O49" s="217">
        <v>1008</v>
      </c>
      <c r="P49" s="198">
        <v>375</v>
      </c>
      <c r="R49" s="182">
        <v>1382</v>
      </c>
      <c r="S49" s="182">
        <f t="shared" si="6"/>
        <v>1.371031746031746</v>
      </c>
    </row>
    <row r="50" spans="1:19" s="83" customFormat="1" ht="18.75" x14ac:dyDescent="0.2">
      <c r="A50" s="407" t="s">
        <v>1908</v>
      </c>
      <c r="B50" s="452"/>
      <c r="C50" s="452"/>
      <c r="D50" s="452"/>
      <c r="E50" s="452"/>
      <c r="F50" s="409"/>
      <c r="G50" s="75"/>
      <c r="H50" s="75"/>
      <c r="I50" s="75"/>
      <c r="J50" s="175"/>
      <c r="K50" s="175"/>
      <c r="L50" s="75"/>
      <c r="P50" s="198"/>
      <c r="S50" s="182"/>
    </row>
    <row r="51" spans="1:19" customFormat="1" ht="16.5" outlineLevel="1" thickBot="1" x14ac:dyDescent="0.25">
      <c r="A51" s="25" t="s">
        <v>91</v>
      </c>
      <c r="B51" s="70" t="s">
        <v>1616</v>
      </c>
      <c r="C51" s="94" t="s">
        <v>549</v>
      </c>
      <c r="D51" s="123">
        <f t="shared" ref="D51:D59" si="14">F51/1.2</f>
        <v>2596.666666666667</v>
      </c>
      <c r="E51" s="123">
        <f t="shared" si="1"/>
        <v>519.33333333333337</v>
      </c>
      <c r="F51" s="123">
        <f>R51+P51</f>
        <v>3116</v>
      </c>
      <c r="G51" s="75">
        <v>2475</v>
      </c>
      <c r="H51" s="75">
        <v>2062.5</v>
      </c>
      <c r="I51" s="75">
        <v>412.5</v>
      </c>
      <c r="J51" s="175">
        <f t="shared" si="3"/>
        <v>2475</v>
      </c>
      <c r="K51" s="175">
        <f t="shared" si="4"/>
        <v>0</v>
      </c>
      <c r="L51" s="75">
        <f t="shared" si="5"/>
        <v>641</v>
      </c>
      <c r="O51" s="217">
        <v>2200</v>
      </c>
      <c r="P51" s="198">
        <v>375</v>
      </c>
      <c r="R51" s="182">
        <v>2741</v>
      </c>
      <c r="S51" s="182">
        <f t="shared" si="6"/>
        <v>1.2459090909090909</v>
      </c>
    </row>
    <row r="52" spans="1:19" customFormat="1" ht="16.5" outlineLevel="1" thickBot="1" x14ac:dyDescent="0.25">
      <c r="A52" s="25" t="s">
        <v>93</v>
      </c>
      <c r="B52" s="70" t="s">
        <v>1764</v>
      </c>
      <c r="C52" s="94" t="s">
        <v>549</v>
      </c>
      <c r="D52" s="123">
        <f t="shared" si="14"/>
        <v>3410.8333333333335</v>
      </c>
      <c r="E52" s="123">
        <f t="shared" si="1"/>
        <v>682.16666666666674</v>
      </c>
      <c r="F52" s="123">
        <f t="shared" ref="F52:F64" si="15">R52+P52</f>
        <v>4093</v>
      </c>
      <c r="G52" s="75">
        <v>3528</v>
      </c>
      <c r="H52" s="75">
        <v>2940</v>
      </c>
      <c r="I52" s="75">
        <v>588</v>
      </c>
      <c r="J52" s="175">
        <f t="shared" si="3"/>
        <v>3528</v>
      </c>
      <c r="K52" s="175">
        <f t="shared" si="4"/>
        <v>0</v>
      </c>
      <c r="L52" s="75">
        <f t="shared" si="5"/>
        <v>565</v>
      </c>
      <c r="N52" s="194">
        <v>2990</v>
      </c>
      <c r="O52" s="217">
        <v>3253</v>
      </c>
      <c r="P52" s="198">
        <v>375</v>
      </c>
      <c r="R52" s="95">
        <v>3718</v>
      </c>
      <c r="S52" s="182">
        <f t="shared" si="6"/>
        <v>1.1429449738702735</v>
      </c>
    </row>
    <row r="53" spans="1:19" customFormat="1" ht="16.5" outlineLevel="1" thickBot="1" x14ac:dyDescent="0.25">
      <c r="A53" s="25" t="s">
        <v>94</v>
      </c>
      <c r="B53" s="70" t="s">
        <v>1765</v>
      </c>
      <c r="C53" s="94" t="s">
        <v>549</v>
      </c>
      <c r="D53" s="123">
        <f t="shared" si="14"/>
        <v>1572.5</v>
      </c>
      <c r="E53" s="123">
        <f t="shared" si="1"/>
        <v>314.5</v>
      </c>
      <c r="F53" s="123">
        <f t="shared" si="15"/>
        <v>1887</v>
      </c>
      <c r="G53" s="75">
        <v>1598</v>
      </c>
      <c r="H53" s="75">
        <v>1331.67</v>
      </c>
      <c r="I53" s="75">
        <v>266.33</v>
      </c>
      <c r="J53" s="175">
        <f t="shared" si="3"/>
        <v>1598</v>
      </c>
      <c r="K53" s="175">
        <f t="shared" si="4"/>
        <v>0</v>
      </c>
      <c r="L53" s="75">
        <f t="shared" si="5"/>
        <v>289</v>
      </c>
      <c r="N53" s="194">
        <v>1300</v>
      </c>
      <c r="O53" s="217">
        <v>1323</v>
      </c>
      <c r="P53" s="198">
        <v>375</v>
      </c>
      <c r="R53" s="182">
        <v>1512</v>
      </c>
      <c r="S53" s="182">
        <f t="shared" si="6"/>
        <v>1.1428571428571428</v>
      </c>
    </row>
    <row r="54" spans="1:19" customFormat="1" ht="16.5" outlineLevel="1" thickBot="1" x14ac:dyDescent="0.25">
      <c r="A54" s="25" t="s">
        <v>284</v>
      </c>
      <c r="B54" s="70" t="s">
        <v>1766</v>
      </c>
      <c r="C54" s="94" t="s">
        <v>549</v>
      </c>
      <c r="D54" s="123">
        <f t="shared" si="14"/>
        <v>3502.5</v>
      </c>
      <c r="E54" s="123">
        <f t="shared" si="1"/>
        <v>700.5</v>
      </c>
      <c r="F54" s="123">
        <f t="shared" si="15"/>
        <v>4203</v>
      </c>
      <c r="G54" s="75">
        <v>3624</v>
      </c>
      <c r="H54" s="75">
        <v>3020</v>
      </c>
      <c r="I54" s="75">
        <v>604</v>
      </c>
      <c r="J54" s="175">
        <f t="shared" si="3"/>
        <v>3624</v>
      </c>
      <c r="K54" s="175">
        <f t="shared" si="4"/>
        <v>0</v>
      </c>
      <c r="L54" s="75">
        <f t="shared" si="5"/>
        <v>579</v>
      </c>
      <c r="N54" s="194">
        <v>3120</v>
      </c>
      <c r="O54" s="217">
        <v>3349</v>
      </c>
      <c r="P54" s="198">
        <v>375</v>
      </c>
      <c r="R54" s="182">
        <v>3828</v>
      </c>
      <c r="S54" s="182">
        <f t="shared" si="6"/>
        <v>1.1430277694834279</v>
      </c>
    </row>
    <row r="55" spans="1:19" customFormat="1" ht="16.5" outlineLevel="1" thickBot="1" x14ac:dyDescent="0.25">
      <c r="A55" s="25" t="s">
        <v>218</v>
      </c>
      <c r="B55" s="70" t="s">
        <v>1767</v>
      </c>
      <c r="C55" s="94" t="s">
        <v>549</v>
      </c>
      <c r="D55" s="123">
        <f t="shared" si="14"/>
        <v>1950.8333333333335</v>
      </c>
      <c r="E55" s="123">
        <f t="shared" si="1"/>
        <v>390.16666666666674</v>
      </c>
      <c r="F55" s="123">
        <f t="shared" si="15"/>
        <v>2341</v>
      </c>
      <c r="G55" s="75">
        <v>1995</v>
      </c>
      <c r="H55" s="75">
        <v>1662.5</v>
      </c>
      <c r="I55" s="75">
        <v>332.5</v>
      </c>
      <c r="J55" s="175">
        <f t="shared" si="3"/>
        <v>1995</v>
      </c>
      <c r="K55" s="175">
        <f t="shared" si="4"/>
        <v>0</v>
      </c>
      <c r="L55" s="75">
        <f t="shared" si="5"/>
        <v>346</v>
      </c>
      <c r="N55" s="194">
        <v>1690</v>
      </c>
      <c r="O55" s="217">
        <v>1720</v>
      </c>
      <c r="P55" s="198">
        <v>375</v>
      </c>
      <c r="R55" s="182">
        <v>1966</v>
      </c>
      <c r="S55" s="182">
        <f t="shared" si="6"/>
        <v>1.1430232558139535</v>
      </c>
    </row>
    <row r="56" spans="1:19" customFormat="1" ht="16.5" outlineLevel="1" thickBot="1" x14ac:dyDescent="0.25">
      <c r="A56" s="25" t="s">
        <v>1583</v>
      </c>
      <c r="B56" s="70" t="s">
        <v>1768</v>
      </c>
      <c r="C56" s="94" t="s">
        <v>549</v>
      </c>
      <c r="D56" s="123">
        <f t="shared" si="14"/>
        <v>3502.5</v>
      </c>
      <c r="E56" s="123">
        <f t="shared" si="1"/>
        <v>700.5</v>
      </c>
      <c r="F56" s="123">
        <f t="shared" si="15"/>
        <v>4203</v>
      </c>
      <c r="G56" s="75">
        <v>3624</v>
      </c>
      <c r="H56" s="75">
        <v>3020</v>
      </c>
      <c r="I56" s="75">
        <v>604</v>
      </c>
      <c r="J56" s="175">
        <f t="shared" si="3"/>
        <v>3624</v>
      </c>
      <c r="K56" s="175">
        <f t="shared" si="4"/>
        <v>0</v>
      </c>
      <c r="L56" s="75">
        <f t="shared" si="5"/>
        <v>579</v>
      </c>
      <c r="N56" s="194">
        <v>3120</v>
      </c>
      <c r="O56" s="217">
        <v>3349</v>
      </c>
      <c r="P56" s="198">
        <v>375</v>
      </c>
      <c r="R56" s="182">
        <v>3828</v>
      </c>
      <c r="S56" s="182">
        <f t="shared" si="6"/>
        <v>1.1430277694834279</v>
      </c>
    </row>
    <row r="57" spans="1:19" customFormat="1" ht="16.5" outlineLevel="1" thickBot="1" x14ac:dyDescent="0.25">
      <c r="A57" s="25" t="s">
        <v>1671</v>
      </c>
      <c r="B57" s="70" t="s">
        <v>1769</v>
      </c>
      <c r="C57" s="94" t="s">
        <v>549</v>
      </c>
      <c r="D57" s="123">
        <f t="shared" si="14"/>
        <v>3502.5</v>
      </c>
      <c r="E57" s="123">
        <f t="shared" si="1"/>
        <v>700.5</v>
      </c>
      <c r="F57" s="123">
        <f t="shared" si="15"/>
        <v>4203</v>
      </c>
      <c r="G57" s="75">
        <v>3624</v>
      </c>
      <c r="H57" s="75">
        <v>3020</v>
      </c>
      <c r="I57" s="75">
        <v>604</v>
      </c>
      <c r="J57" s="175">
        <f t="shared" si="3"/>
        <v>3624</v>
      </c>
      <c r="K57" s="175">
        <f t="shared" si="4"/>
        <v>0</v>
      </c>
      <c r="L57" s="75">
        <f t="shared" si="5"/>
        <v>579</v>
      </c>
      <c r="N57" s="194">
        <v>3120</v>
      </c>
      <c r="O57" s="217">
        <v>3349</v>
      </c>
      <c r="P57" s="198">
        <v>375</v>
      </c>
      <c r="R57" s="182">
        <v>3828</v>
      </c>
      <c r="S57" s="182">
        <f t="shared" si="6"/>
        <v>1.1430277694834279</v>
      </c>
    </row>
    <row r="58" spans="1:19" customFormat="1" ht="16.5" outlineLevel="1" thickBot="1" x14ac:dyDescent="0.25">
      <c r="A58" s="25" t="s">
        <v>1672</v>
      </c>
      <c r="B58" s="70" t="s">
        <v>1770</v>
      </c>
      <c r="C58" s="94" t="s">
        <v>549</v>
      </c>
      <c r="D58" s="123">
        <f t="shared" si="14"/>
        <v>3500.8333333333335</v>
      </c>
      <c r="E58" s="123">
        <f t="shared" si="1"/>
        <v>700.16666666666674</v>
      </c>
      <c r="F58" s="123">
        <f t="shared" si="15"/>
        <v>4201</v>
      </c>
      <c r="G58" s="75">
        <v>3623</v>
      </c>
      <c r="H58" s="75">
        <v>3019.17</v>
      </c>
      <c r="I58" s="75">
        <v>603.83000000000004</v>
      </c>
      <c r="J58" s="175">
        <f t="shared" si="3"/>
        <v>3623</v>
      </c>
      <c r="K58" s="175">
        <f t="shared" si="4"/>
        <v>0</v>
      </c>
      <c r="L58" s="75">
        <f t="shared" si="5"/>
        <v>578</v>
      </c>
      <c r="N58" s="194">
        <v>3120</v>
      </c>
      <c r="O58" s="217">
        <v>3348</v>
      </c>
      <c r="P58" s="198">
        <v>375</v>
      </c>
      <c r="R58" s="182">
        <v>3826</v>
      </c>
      <c r="S58" s="182">
        <f t="shared" si="6"/>
        <v>1.1427718040621266</v>
      </c>
    </row>
    <row r="59" spans="1:19" customFormat="1" ht="48" outlineLevel="1" thickBot="1" x14ac:dyDescent="0.25">
      <c r="A59" s="25" t="s">
        <v>1673</v>
      </c>
      <c r="B59" s="70" t="s">
        <v>1771</v>
      </c>
      <c r="C59" s="94" t="s">
        <v>549</v>
      </c>
      <c r="D59" s="123">
        <f t="shared" si="14"/>
        <v>3495.8333333333335</v>
      </c>
      <c r="E59" s="123">
        <f t="shared" si="1"/>
        <v>699.16666666666674</v>
      </c>
      <c r="F59" s="123">
        <f t="shared" si="15"/>
        <v>4195</v>
      </c>
      <c r="G59" s="75">
        <v>3617</v>
      </c>
      <c r="H59" s="75">
        <v>3014.17</v>
      </c>
      <c r="I59" s="75">
        <v>602.83000000000004</v>
      </c>
      <c r="J59" s="175">
        <f t="shared" si="3"/>
        <v>3617</v>
      </c>
      <c r="K59" s="175">
        <f t="shared" si="4"/>
        <v>0</v>
      </c>
      <c r="L59" s="75">
        <f t="shared" si="5"/>
        <v>578</v>
      </c>
      <c r="N59" s="194">
        <v>3120</v>
      </c>
      <c r="O59" s="217">
        <v>3342</v>
      </c>
      <c r="P59" s="198">
        <v>375</v>
      </c>
      <c r="R59" s="182">
        <v>3820</v>
      </c>
      <c r="S59" s="182">
        <f t="shared" si="6"/>
        <v>1.1430281268701377</v>
      </c>
    </row>
    <row r="60" spans="1:19" s="83" customFormat="1" ht="19.5" thickBot="1" x14ac:dyDescent="0.25">
      <c r="A60" s="407" t="s">
        <v>1909</v>
      </c>
      <c r="B60" s="452"/>
      <c r="C60" s="452"/>
      <c r="D60" s="452"/>
      <c r="E60" s="452"/>
      <c r="F60" s="409"/>
      <c r="G60" s="75"/>
      <c r="H60" s="75"/>
      <c r="I60" s="75"/>
      <c r="J60" s="175"/>
      <c r="K60" s="175"/>
      <c r="L60" s="75"/>
      <c r="P60" s="198"/>
      <c r="S60" s="182"/>
    </row>
    <row r="61" spans="1:19" customFormat="1" ht="32.25" outlineLevel="1" thickBot="1" x14ac:dyDescent="0.25">
      <c r="A61" s="25" t="s">
        <v>96</v>
      </c>
      <c r="B61" s="181" t="s">
        <v>3579</v>
      </c>
      <c r="C61" s="94" t="s">
        <v>549</v>
      </c>
      <c r="D61" s="123">
        <f t="shared" ref="D61:D64" si="16">F61/1.2</f>
        <v>2856.666666666667</v>
      </c>
      <c r="E61" s="123">
        <f t="shared" si="1"/>
        <v>571.33333333333337</v>
      </c>
      <c r="F61" s="123">
        <f t="shared" si="15"/>
        <v>3428</v>
      </c>
      <c r="G61" s="75">
        <v>2946</v>
      </c>
      <c r="H61" s="75">
        <v>2455</v>
      </c>
      <c r="I61" s="75">
        <v>491</v>
      </c>
      <c r="J61" s="175">
        <f t="shared" si="3"/>
        <v>2946</v>
      </c>
      <c r="K61" s="175">
        <f t="shared" si="4"/>
        <v>0</v>
      </c>
      <c r="L61" s="75">
        <f t="shared" si="5"/>
        <v>482</v>
      </c>
      <c r="N61" s="194">
        <v>2280</v>
      </c>
      <c r="O61" s="217">
        <v>2671</v>
      </c>
      <c r="P61" s="198">
        <v>375</v>
      </c>
      <c r="R61" s="182">
        <v>3053</v>
      </c>
      <c r="S61" s="182">
        <f t="shared" si="6"/>
        <v>1.1430175964058404</v>
      </c>
    </row>
    <row r="62" spans="1:19" customFormat="1" ht="16.5" outlineLevel="1" thickBot="1" x14ac:dyDescent="0.25">
      <c r="A62" s="25" t="s">
        <v>97</v>
      </c>
      <c r="B62" s="181" t="s">
        <v>3580</v>
      </c>
      <c r="C62" s="94" t="s">
        <v>549</v>
      </c>
      <c r="D62" s="123">
        <f t="shared" si="16"/>
        <v>1697.5</v>
      </c>
      <c r="E62" s="123">
        <f t="shared" si="1"/>
        <v>339.5</v>
      </c>
      <c r="F62" s="123">
        <f t="shared" si="15"/>
        <v>2037</v>
      </c>
      <c r="G62" s="75">
        <v>1730</v>
      </c>
      <c r="H62" s="75">
        <v>1441.67</v>
      </c>
      <c r="I62" s="75">
        <v>288.33</v>
      </c>
      <c r="J62" s="175">
        <f t="shared" si="3"/>
        <v>1730</v>
      </c>
      <c r="K62" s="175">
        <f t="shared" si="4"/>
        <v>0</v>
      </c>
      <c r="L62" s="75">
        <f t="shared" si="5"/>
        <v>307</v>
      </c>
      <c r="N62" s="194">
        <v>1300</v>
      </c>
      <c r="O62" s="217">
        <v>1455</v>
      </c>
      <c r="P62" s="198">
        <v>375</v>
      </c>
      <c r="R62" s="182">
        <v>1662</v>
      </c>
      <c r="S62" s="182">
        <f t="shared" si="6"/>
        <v>1.1422680412371133</v>
      </c>
    </row>
    <row r="63" spans="1:19" customFormat="1" ht="32.25" outlineLevel="1" thickBot="1" x14ac:dyDescent="0.25">
      <c r="A63" s="25" t="s">
        <v>98</v>
      </c>
      <c r="B63" s="181" t="s">
        <v>3581</v>
      </c>
      <c r="C63" s="94" t="s">
        <v>549</v>
      </c>
      <c r="D63" s="123">
        <f t="shared" si="16"/>
        <v>2347.5</v>
      </c>
      <c r="E63" s="123">
        <f t="shared" si="1"/>
        <v>469.5</v>
      </c>
      <c r="F63" s="123">
        <f t="shared" si="15"/>
        <v>2817</v>
      </c>
      <c r="G63" s="75">
        <v>2412</v>
      </c>
      <c r="H63" s="75">
        <v>2010</v>
      </c>
      <c r="I63" s="75">
        <v>402</v>
      </c>
      <c r="J63" s="175">
        <f t="shared" si="3"/>
        <v>2412</v>
      </c>
      <c r="K63" s="175">
        <f t="shared" si="4"/>
        <v>0</v>
      </c>
      <c r="L63" s="75">
        <f t="shared" si="5"/>
        <v>405</v>
      </c>
      <c r="N63" s="194">
        <v>1950</v>
      </c>
      <c r="O63" s="217">
        <v>2137</v>
      </c>
      <c r="P63" s="198">
        <v>375</v>
      </c>
      <c r="R63" s="182">
        <v>2442</v>
      </c>
      <c r="S63" s="182">
        <f t="shared" si="6"/>
        <v>1.1427234440804868</v>
      </c>
    </row>
    <row r="64" spans="1:19" customFormat="1" ht="16.5" outlineLevel="1" thickBot="1" x14ac:dyDescent="0.25">
      <c r="A64" s="25" t="s">
        <v>216</v>
      </c>
      <c r="B64" s="181" t="s">
        <v>3582</v>
      </c>
      <c r="C64" s="94" t="s">
        <v>549</v>
      </c>
      <c r="D64" s="123">
        <f t="shared" si="16"/>
        <v>2241.9499999999998</v>
      </c>
      <c r="E64" s="123">
        <f t="shared" si="1"/>
        <v>448.39</v>
      </c>
      <c r="F64" s="123">
        <f t="shared" si="15"/>
        <v>2690.3399999999997</v>
      </c>
      <c r="G64" s="75">
        <v>2306</v>
      </c>
      <c r="H64" s="75">
        <v>1921.67</v>
      </c>
      <c r="I64" s="75">
        <v>384.33</v>
      </c>
      <c r="J64" s="175">
        <f t="shared" si="3"/>
        <v>2306</v>
      </c>
      <c r="K64" s="175">
        <f t="shared" si="4"/>
        <v>0</v>
      </c>
      <c r="L64" s="75">
        <f t="shared" si="5"/>
        <v>384.33999999999969</v>
      </c>
      <c r="N64" s="194">
        <v>1825</v>
      </c>
      <c r="O64" s="217">
        <v>2031</v>
      </c>
      <c r="P64" s="198">
        <v>375</v>
      </c>
      <c r="R64">
        <f>O64*1.14</f>
        <v>2315.3399999999997</v>
      </c>
      <c r="S64" s="182">
        <f t="shared" si="6"/>
        <v>1.1399999999999999</v>
      </c>
    </row>
    <row r="65" spans="1:19" s="83" customFormat="1" ht="19.5" thickBot="1" x14ac:dyDescent="0.25">
      <c r="A65" s="407" t="s">
        <v>1910</v>
      </c>
      <c r="B65" s="452"/>
      <c r="C65" s="452"/>
      <c r="D65" s="452"/>
      <c r="E65" s="452"/>
      <c r="F65" s="409"/>
      <c r="G65" s="75"/>
      <c r="H65" s="75"/>
      <c r="I65" s="75"/>
      <c r="J65" s="175"/>
      <c r="K65" s="175"/>
      <c r="L65" s="75"/>
      <c r="P65" s="198"/>
      <c r="S65" s="182"/>
    </row>
    <row r="66" spans="1:19" customFormat="1" ht="126.75" outlineLevel="1" thickBot="1" x14ac:dyDescent="0.25">
      <c r="A66" s="25" t="s">
        <v>99</v>
      </c>
      <c r="B66" s="70" t="s">
        <v>1775</v>
      </c>
      <c r="C66" s="94" t="s">
        <v>549</v>
      </c>
      <c r="D66" s="123">
        <f t="shared" ref="D66" si="17">F66/1.2</f>
        <v>5114.166666666667</v>
      </c>
      <c r="E66" s="123">
        <f t="shared" si="1"/>
        <v>1022.8333333333335</v>
      </c>
      <c r="F66" s="123">
        <f>R66+P66</f>
        <v>6137</v>
      </c>
      <c r="G66" s="75">
        <v>5317</v>
      </c>
      <c r="H66" s="75">
        <v>4430.83</v>
      </c>
      <c r="I66" s="75">
        <v>886.17</v>
      </c>
      <c r="J66" s="175">
        <f t="shared" si="3"/>
        <v>5317</v>
      </c>
      <c r="K66" s="175">
        <f t="shared" si="4"/>
        <v>0</v>
      </c>
      <c r="L66" s="75">
        <f t="shared" si="5"/>
        <v>820</v>
      </c>
      <c r="N66" s="194">
        <v>4375</v>
      </c>
      <c r="O66" s="217">
        <v>5042</v>
      </c>
      <c r="P66" s="198">
        <v>375</v>
      </c>
      <c r="R66" s="182">
        <v>5762</v>
      </c>
      <c r="S66" s="182">
        <f t="shared" si="6"/>
        <v>1.1428004760015866</v>
      </c>
    </row>
    <row r="67" spans="1:19" s="83" customFormat="1" ht="19.5" thickBot="1" x14ac:dyDescent="0.25">
      <c r="A67" s="407" t="s">
        <v>1911</v>
      </c>
      <c r="B67" s="452"/>
      <c r="C67" s="452"/>
      <c r="D67" s="452"/>
      <c r="E67" s="452"/>
      <c r="F67" s="409"/>
      <c r="G67" s="75"/>
      <c r="H67" s="75"/>
      <c r="I67" s="75"/>
      <c r="J67" s="175"/>
      <c r="K67" s="175"/>
      <c r="L67" s="75"/>
      <c r="P67" s="198"/>
      <c r="S67" s="182"/>
    </row>
    <row r="68" spans="1:19" customFormat="1" ht="16.5" outlineLevel="1" thickBot="1" x14ac:dyDescent="0.25">
      <c r="A68" s="25" t="s">
        <v>117</v>
      </c>
      <c r="B68" s="181" t="s">
        <v>3583</v>
      </c>
      <c r="C68" s="94" t="s">
        <v>549</v>
      </c>
      <c r="D68" s="123">
        <f t="shared" ref="D68:D75" si="18">F68/1.2</f>
        <v>1008.3333333333334</v>
      </c>
      <c r="E68" s="123">
        <f t="shared" si="1"/>
        <v>201.66666666666669</v>
      </c>
      <c r="F68" s="123">
        <f>R68+P68</f>
        <v>1210</v>
      </c>
      <c r="G68" s="75">
        <v>1006</v>
      </c>
      <c r="H68" s="75">
        <v>838.33</v>
      </c>
      <c r="I68" s="75">
        <v>167.67</v>
      </c>
      <c r="J68" s="175">
        <f t="shared" si="3"/>
        <v>1006</v>
      </c>
      <c r="K68" s="175">
        <f t="shared" si="4"/>
        <v>0</v>
      </c>
      <c r="L68" s="75">
        <f t="shared" si="5"/>
        <v>204</v>
      </c>
      <c r="N68" s="194">
        <v>715</v>
      </c>
      <c r="O68" s="217">
        <v>731</v>
      </c>
      <c r="P68" s="198">
        <v>375</v>
      </c>
      <c r="R68" s="182">
        <v>835</v>
      </c>
      <c r="S68" s="182">
        <f t="shared" si="6"/>
        <v>1.1422708618331054</v>
      </c>
    </row>
    <row r="69" spans="1:19" customFormat="1" ht="16.5" outlineLevel="1" thickBot="1" x14ac:dyDescent="0.25">
      <c r="A69" s="25" t="s">
        <v>118</v>
      </c>
      <c r="B69" s="181" t="s">
        <v>3584</v>
      </c>
      <c r="C69" s="94" t="s">
        <v>549</v>
      </c>
      <c r="D69" s="123">
        <f t="shared" si="18"/>
        <v>2580.8333333333335</v>
      </c>
      <c r="E69" s="123">
        <f t="shared" si="1"/>
        <v>516.16666666666674</v>
      </c>
      <c r="F69" s="123">
        <f t="shared" ref="F69:F75" si="19">R69+P69</f>
        <v>3097</v>
      </c>
      <c r="G69" s="75">
        <v>2656</v>
      </c>
      <c r="H69" s="75">
        <v>2213.33</v>
      </c>
      <c r="I69" s="75">
        <v>442.67</v>
      </c>
      <c r="J69" s="175">
        <f t="shared" si="3"/>
        <v>2656</v>
      </c>
      <c r="K69" s="175">
        <f t="shared" si="4"/>
        <v>0</v>
      </c>
      <c r="L69" s="75">
        <f t="shared" si="5"/>
        <v>441</v>
      </c>
      <c r="N69" s="194">
        <v>2340</v>
      </c>
      <c r="O69" s="217">
        <v>2381</v>
      </c>
      <c r="P69" s="198">
        <v>375</v>
      </c>
      <c r="R69" s="182">
        <v>2722</v>
      </c>
      <c r="S69" s="182">
        <f t="shared" si="6"/>
        <v>1.1432171356572869</v>
      </c>
    </row>
    <row r="70" spans="1:19" customFormat="1" ht="16.5" outlineLevel="1" thickBot="1" x14ac:dyDescent="0.25">
      <c r="A70" s="25" t="s">
        <v>285</v>
      </c>
      <c r="B70" s="181" t="s">
        <v>3585</v>
      </c>
      <c r="C70" s="94" t="s">
        <v>549</v>
      </c>
      <c r="D70" s="123">
        <f t="shared" si="18"/>
        <v>1902.5</v>
      </c>
      <c r="E70" s="123">
        <f t="shared" si="1"/>
        <v>380.5</v>
      </c>
      <c r="F70" s="123">
        <f t="shared" si="19"/>
        <v>2283</v>
      </c>
      <c r="G70" s="75">
        <v>1945</v>
      </c>
      <c r="H70" s="75">
        <v>1620.83</v>
      </c>
      <c r="I70" s="75">
        <v>324.17</v>
      </c>
      <c r="J70" s="175">
        <f t="shared" si="3"/>
        <v>1945</v>
      </c>
      <c r="K70" s="175">
        <f t="shared" si="4"/>
        <v>0</v>
      </c>
      <c r="L70" s="75">
        <f t="shared" si="5"/>
        <v>338</v>
      </c>
      <c r="N70" s="194">
        <v>1560</v>
      </c>
      <c r="O70" s="217">
        <v>1670</v>
      </c>
      <c r="P70" s="198">
        <v>375</v>
      </c>
      <c r="R70" s="182">
        <v>1908</v>
      </c>
      <c r="S70" s="182">
        <f t="shared" si="6"/>
        <v>1.1425149700598802</v>
      </c>
    </row>
    <row r="71" spans="1:19" customFormat="1" ht="16.5" outlineLevel="1" thickBot="1" x14ac:dyDescent="0.25">
      <c r="A71" s="25" t="s">
        <v>120</v>
      </c>
      <c r="B71" s="181" t="s">
        <v>3586</v>
      </c>
      <c r="C71" s="94" t="s">
        <v>549</v>
      </c>
      <c r="D71" s="123">
        <f t="shared" si="18"/>
        <v>1955.8333333333335</v>
      </c>
      <c r="E71" s="123">
        <f t="shared" si="1"/>
        <v>391.16666666666674</v>
      </c>
      <c r="F71" s="123">
        <f t="shared" si="19"/>
        <v>2347</v>
      </c>
      <c r="G71" s="75">
        <v>2000</v>
      </c>
      <c r="H71" s="75">
        <v>1666.67</v>
      </c>
      <c r="I71" s="75">
        <v>333.33</v>
      </c>
      <c r="J71" s="175">
        <f t="shared" si="3"/>
        <v>2000</v>
      </c>
      <c r="K71" s="175">
        <f t="shared" si="4"/>
        <v>0</v>
      </c>
      <c r="L71" s="75">
        <f t="shared" si="5"/>
        <v>347</v>
      </c>
      <c r="N71" s="194">
        <v>1560</v>
      </c>
      <c r="O71" s="217">
        <v>1725</v>
      </c>
      <c r="P71" s="198">
        <v>375</v>
      </c>
      <c r="R71" s="182">
        <v>1972</v>
      </c>
      <c r="S71" s="182">
        <f t="shared" si="6"/>
        <v>1.1431884057971013</v>
      </c>
    </row>
    <row r="72" spans="1:19" customFormat="1" ht="32.25" outlineLevel="1" thickBot="1" x14ac:dyDescent="0.25">
      <c r="A72" s="25" t="s">
        <v>122</v>
      </c>
      <c r="B72" s="181" t="s">
        <v>3746</v>
      </c>
      <c r="C72" s="94" t="s">
        <v>549</v>
      </c>
      <c r="D72" s="123">
        <f t="shared" si="18"/>
        <v>5094.166666666667</v>
      </c>
      <c r="E72" s="123">
        <f t="shared" si="1"/>
        <v>1018.8333333333335</v>
      </c>
      <c r="F72" s="123">
        <f t="shared" si="19"/>
        <v>6113</v>
      </c>
      <c r="G72" s="75">
        <v>5296</v>
      </c>
      <c r="H72" s="75">
        <v>4413.33</v>
      </c>
      <c r="I72" s="75">
        <v>882.67</v>
      </c>
      <c r="J72" s="175">
        <f t="shared" si="3"/>
        <v>5296</v>
      </c>
      <c r="K72" s="175">
        <f t="shared" si="4"/>
        <v>0</v>
      </c>
      <c r="L72" s="75">
        <f t="shared" si="5"/>
        <v>817</v>
      </c>
      <c r="N72" s="194">
        <v>4930</v>
      </c>
      <c r="O72" s="217">
        <v>5021</v>
      </c>
      <c r="P72" s="198">
        <v>375</v>
      </c>
      <c r="R72" s="182">
        <v>5738</v>
      </c>
      <c r="S72" s="182">
        <f t="shared" si="6"/>
        <v>1.142800238996216</v>
      </c>
    </row>
    <row r="73" spans="1:19" customFormat="1" ht="32.25" outlineLevel="1" thickBot="1" x14ac:dyDescent="0.25">
      <c r="A73" s="25" t="s">
        <v>124</v>
      </c>
      <c r="B73" s="181" t="s">
        <v>1772</v>
      </c>
      <c r="C73" s="94" t="s">
        <v>549</v>
      </c>
      <c r="D73" s="123">
        <f t="shared" si="18"/>
        <v>3913.3333333333335</v>
      </c>
      <c r="E73" s="123">
        <f t="shared" si="1"/>
        <v>782.66666666666674</v>
      </c>
      <c r="F73" s="123">
        <f t="shared" si="19"/>
        <v>4696</v>
      </c>
      <c r="G73" s="75">
        <v>4056</v>
      </c>
      <c r="H73" s="75">
        <v>3380</v>
      </c>
      <c r="I73" s="75">
        <v>676</v>
      </c>
      <c r="J73" s="175">
        <f t="shared" ref="J73:J135" si="20">I73+H73</f>
        <v>4056</v>
      </c>
      <c r="K73" s="175">
        <f t="shared" ref="K73:K135" si="21">G73-J73</f>
        <v>0</v>
      </c>
      <c r="L73" s="75">
        <f t="shared" ref="L73:L135" si="22">F73-G73</f>
        <v>640</v>
      </c>
      <c r="N73" s="194">
        <v>3250</v>
      </c>
      <c r="O73" s="217">
        <v>3781</v>
      </c>
      <c r="P73" s="198">
        <v>375</v>
      </c>
      <c r="R73" s="182">
        <v>4321</v>
      </c>
      <c r="S73" s="182">
        <f t="shared" si="6"/>
        <v>1.1428193599576832</v>
      </c>
    </row>
    <row r="74" spans="1:19" customFormat="1" ht="32.25" outlineLevel="1" thickBot="1" x14ac:dyDescent="0.25">
      <c r="A74" s="25" t="s">
        <v>125</v>
      </c>
      <c r="B74" s="181" t="s">
        <v>1773</v>
      </c>
      <c r="C74" s="94" t="s">
        <v>549</v>
      </c>
      <c r="D74" s="123">
        <f t="shared" si="18"/>
        <v>3913.3333333333335</v>
      </c>
      <c r="E74" s="123">
        <f t="shared" si="1"/>
        <v>782.66666666666674</v>
      </c>
      <c r="F74" s="123">
        <f t="shared" si="19"/>
        <v>4696</v>
      </c>
      <c r="G74" s="75">
        <v>4056</v>
      </c>
      <c r="H74" s="75">
        <v>3380</v>
      </c>
      <c r="I74" s="75">
        <v>676</v>
      </c>
      <c r="J74" s="175">
        <f t="shared" si="20"/>
        <v>4056</v>
      </c>
      <c r="K74" s="175">
        <f t="shared" si="21"/>
        <v>0</v>
      </c>
      <c r="L74" s="75">
        <f t="shared" si="22"/>
        <v>640</v>
      </c>
      <c r="N74" s="194">
        <v>3250</v>
      </c>
      <c r="O74" s="217">
        <v>3781</v>
      </c>
      <c r="P74" s="198">
        <v>375</v>
      </c>
      <c r="R74" s="182">
        <v>4321</v>
      </c>
      <c r="S74" s="182">
        <f t="shared" si="6"/>
        <v>1.1428193599576832</v>
      </c>
    </row>
    <row r="75" spans="1:19" customFormat="1" ht="16.5" outlineLevel="1" thickBot="1" x14ac:dyDescent="0.25">
      <c r="A75" s="25" t="s">
        <v>126</v>
      </c>
      <c r="B75" s="181" t="s">
        <v>1774</v>
      </c>
      <c r="C75" s="94" t="s">
        <v>549</v>
      </c>
      <c r="D75" s="123">
        <f t="shared" si="18"/>
        <v>8864.1666666666679</v>
      </c>
      <c r="E75" s="123">
        <f t="shared" si="1"/>
        <v>1772.8333333333337</v>
      </c>
      <c r="F75" s="123">
        <f t="shared" si="19"/>
        <v>10637</v>
      </c>
      <c r="G75" s="75">
        <v>9255</v>
      </c>
      <c r="H75" s="75">
        <v>7712.5</v>
      </c>
      <c r="I75" s="75">
        <v>1542.5</v>
      </c>
      <c r="J75" s="175">
        <f t="shared" si="20"/>
        <v>9255</v>
      </c>
      <c r="K75" s="175">
        <f t="shared" si="21"/>
        <v>0</v>
      </c>
      <c r="L75" s="75">
        <f t="shared" si="22"/>
        <v>1382</v>
      </c>
      <c r="N75" s="194">
        <v>8140</v>
      </c>
      <c r="O75" s="217">
        <v>8980</v>
      </c>
      <c r="P75" s="198">
        <v>375</v>
      </c>
      <c r="R75" s="182">
        <v>10262</v>
      </c>
      <c r="S75" s="182">
        <f t="shared" si="6"/>
        <v>1.1427616926503341</v>
      </c>
    </row>
    <row r="76" spans="1:19" s="83" customFormat="1" ht="18.75" x14ac:dyDescent="0.2">
      <c r="A76" s="392" t="s">
        <v>1776</v>
      </c>
      <c r="B76" s="459"/>
      <c r="C76" s="459"/>
      <c r="D76" s="459"/>
      <c r="E76" s="459"/>
      <c r="F76" s="460"/>
      <c r="G76" s="75"/>
      <c r="H76" s="75"/>
      <c r="I76" s="75"/>
      <c r="J76" s="175"/>
      <c r="K76" s="175"/>
      <c r="L76" s="75"/>
      <c r="P76" s="198"/>
      <c r="S76" s="182"/>
    </row>
    <row r="77" spans="1:19" s="83" customFormat="1" ht="19.5" thickBot="1" x14ac:dyDescent="0.25">
      <c r="A77" s="407" t="s">
        <v>1912</v>
      </c>
      <c r="B77" s="452"/>
      <c r="C77" s="452"/>
      <c r="D77" s="452"/>
      <c r="E77" s="452"/>
      <c r="F77" s="409"/>
      <c r="G77" s="75"/>
      <c r="H77" s="75"/>
      <c r="I77" s="75"/>
      <c r="J77" s="175"/>
      <c r="K77" s="175"/>
      <c r="L77" s="75"/>
      <c r="P77" s="198"/>
      <c r="S77" s="182"/>
    </row>
    <row r="78" spans="1:19" customFormat="1" ht="32.25" outlineLevel="1" thickBot="1" x14ac:dyDescent="0.25">
      <c r="A78" s="25" t="s">
        <v>136</v>
      </c>
      <c r="B78" s="70" t="s">
        <v>3587</v>
      </c>
      <c r="C78" s="94" t="s">
        <v>549</v>
      </c>
      <c r="D78" s="123">
        <f t="shared" ref="D78:D86" si="23">F78/1.2</f>
        <v>3062.5</v>
      </c>
      <c r="E78" s="123">
        <f t="shared" ref="E78:E142" si="24">D78*0.2</f>
        <v>612.5</v>
      </c>
      <c r="F78" s="123">
        <v>3675</v>
      </c>
      <c r="G78" s="75">
        <v>3675</v>
      </c>
      <c r="H78" s="75">
        <v>3062.5</v>
      </c>
      <c r="I78" s="75">
        <v>612.5</v>
      </c>
      <c r="J78" s="175">
        <f t="shared" si="20"/>
        <v>3675</v>
      </c>
      <c r="K78" s="175">
        <f t="shared" si="21"/>
        <v>0</v>
      </c>
      <c r="L78" s="75">
        <f t="shared" si="22"/>
        <v>0</v>
      </c>
      <c r="N78" s="194">
        <v>3010</v>
      </c>
      <c r="O78" s="217">
        <v>3400</v>
      </c>
      <c r="P78" s="198">
        <v>375</v>
      </c>
      <c r="R78" s="182">
        <v>2752</v>
      </c>
      <c r="S78" s="182">
        <f t="shared" ref="S78:S139" si="25">R78/O78</f>
        <v>0.80941176470588239</v>
      </c>
    </row>
    <row r="79" spans="1:19" customFormat="1" ht="16.5" outlineLevel="1" thickBot="1" x14ac:dyDescent="0.25">
      <c r="A79" s="25" t="s">
        <v>138</v>
      </c>
      <c r="B79" s="70" t="s">
        <v>3588</v>
      </c>
      <c r="C79" s="94" t="s">
        <v>549</v>
      </c>
      <c r="D79" s="123">
        <f t="shared" si="23"/>
        <v>2830.8333333333335</v>
      </c>
      <c r="E79" s="123">
        <f t="shared" si="24"/>
        <v>566.16666666666674</v>
      </c>
      <c r="F79" s="123">
        <v>3397</v>
      </c>
      <c r="G79" s="75">
        <v>3397</v>
      </c>
      <c r="H79" s="75">
        <v>2830.83</v>
      </c>
      <c r="I79" s="75">
        <v>566.16999999999996</v>
      </c>
      <c r="J79" s="175">
        <f t="shared" si="20"/>
        <v>3397</v>
      </c>
      <c r="K79" s="175">
        <f t="shared" si="21"/>
        <v>0</v>
      </c>
      <c r="L79" s="75">
        <f t="shared" si="22"/>
        <v>0</v>
      </c>
      <c r="N79" s="194">
        <v>2785</v>
      </c>
      <c r="O79" s="217">
        <v>3122</v>
      </c>
      <c r="P79" s="198">
        <v>375</v>
      </c>
      <c r="R79" s="182">
        <v>2543</v>
      </c>
      <c r="S79" s="182">
        <f t="shared" si="25"/>
        <v>0.81454196028187065</v>
      </c>
    </row>
    <row r="80" spans="1:19" customFormat="1" ht="32.25" outlineLevel="1" thickBot="1" x14ac:dyDescent="0.25">
      <c r="A80" s="25" t="s">
        <v>237</v>
      </c>
      <c r="B80" s="70" t="s">
        <v>3589</v>
      </c>
      <c r="C80" s="94" t="s">
        <v>549</v>
      </c>
      <c r="D80" s="123">
        <f t="shared" si="23"/>
        <v>3040.8333333333335</v>
      </c>
      <c r="E80" s="123">
        <f t="shared" si="24"/>
        <v>608.16666666666674</v>
      </c>
      <c r="F80" s="123">
        <v>3649</v>
      </c>
      <c r="G80" s="75">
        <v>3649</v>
      </c>
      <c r="H80" s="75">
        <v>3040.83</v>
      </c>
      <c r="I80" s="75">
        <v>608.16999999999996</v>
      </c>
      <c r="J80" s="175">
        <f t="shared" si="20"/>
        <v>3649</v>
      </c>
      <c r="K80" s="175">
        <f t="shared" si="21"/>
        <v>0</v>
      </c>
      <c r="L80" s="75">
        <f t="shared" si="22"/>
        <v>0</v>
      </c>
      <c r="N80" s="194">
        <v>3010</v>
      </c>
      <c r="O80" s="217">
        <v>3374</v>
      </c>
      <c r="P80" s="198">
        <v>375</v>
      </c>
      <c r="R80" s="182">
        <v>2752</v>
      </c>
      <c r="S80" s="182">
        <f t="shared" si="25"/>
        <v>0.81564908120924717</v>
      </c>
    </row>
    <row r="81" spans="1:19" customFormat="1" ht="16.5" outlineLevel="1" thickBot="1" x14ac:dyDescent="0.25">
      <c r="A81" s="25" t="s">
        <v>341</v>
      </c>
      <c r="B81" s="70" t="s">
        <v>3590</v>
      </c>
      <c r="C81" s="94" t="s">
        <v>549</v>
      </c>
      <c r="D81" s="123">
        <f t="shared" si="23"/>
        <v>2718.3333333333335</v>
      </c>
      <c r="E81" s="123">
        <f t="shared" si="24"/>
        <v>543.66666666666674</v>
      </c>
      <c r="F81" s="123">
        <v>3262</v>
      </c>
      <c r="G81" s="75">
        <v>3262</v>
      </c>
      <c r="H81" s="75">
        <v>2718.33</v>
      </c>
      <c r="I81" s="75">
        <v>543.66999999999996</v>
      </c>
      <c r="J81" s="175">
        <f t="shared" si="20"/>
        <v>3262</v>
      </c>
      <c r="K81" s="175">
        <f t="shared" si="21"/>
        <v>0</v>
      </c>
      <c r="L81" s="75">
        <f t="shared" si="22"/>
        <v>0</v>
      </c>
      <c r="N81" s="194">
        <v>2710</v>
      </c>
      <c r="O81" s="217">
        <v>2987</v>
      </c>
      <c r="P81" s="198">
        <v>375</v>
      </c>
      <c r="R81" s="182">
        <v>2475</v>
      </c>
      <c r="S81" s="182">
        <f t="shared" si="25"/>
        <v>0.82859055908938739</v>
      </c>
    </row>
    <row r="82" spans="1:19" customFormat="1" ht="16.5" outlineLevel="1" thickBot="1" x14ac:dyDescent="0.25">
      <c r="A82" s="25" t="s">
        <v>342</v>
      </c>
      <c r="B82" s="70" t="s">
        <v>3591</v>
      </c>
      <c r="C82" s="94" t="s">
        <v>549</v>
      </c>
      <c r="D82" s="123">
        <f t="shared" si="23"/>
        <v>2694.166666666667</v>
      </c>
      <c r="E82" s="123">
        <f t="shared" si="24"/>
        <v>538.83333333333337</v>
      </c>
      <c r="F82" s="123">
        <v>3233</v>
      </c>
      <c r="G82" s="75">
        <v>3233</v>
      </c>
      <c r="H82" s="75">
        <v>2694.17</v>
      </c>
      <c r="I82" s="75">
        <v>538.83000000000004</v>
      </c>
      <c r="J82" s="175">
        <f t="shared" si="20"/>
        <v>3233</v>
      </c>
      <c r="K82" s="175">
        <f t="shared" si="21"/>
        <v>0</v>
      </c>
      <c r="L82" s="75">
        <f t="shared" si="22"/>
        <v>0</v>
      </c>
      <c r="N82" s="194">
        <v>2635</v>
      </c>
      <c r="O82" s="217">
        <v>2958</v>
      </c>
      <c r="P82" s="198">
        <v>375</v>
      </c>
      <c r="R82" s="182">
        <v>2407</v>
      </c>
      <c r="S82" s="182">
        <f t="shared" si="25"/>
        <v>0.81372549019607843</v>
      </c>
    </row>
    <row r="83" spans="1:19" customFormat="1" ht="16.5" outlineLevel="1" thickBot="1" x14ac:dyDescent="0.25">
      <c r="A83" s="25" t="s">
        <v>343</v>
      </c>
      <c r="B83" s="70" t="s">
        <v>3592</v>
      </c>
      <c r="C83" s="94" t="s">
        <v>549</v>
      </c>
      <c r="D83" s="123">
        <f t="shared" si="23"/>
        <v>2370</v>
      </c>
      <c r="E83" s="123">
        <f t="shared" si="24"/>
        <v>474</v>
      </c>
      <c r="F83" s="123">
        <v>2844</v>
      </c>
      <c r="G83" s="75">
        <v>2844</v>
      </c>
      <c r="H83" s="75">
        <v>2370</v>
      </c>
      <c r="I83" s="75">
        <v>474</v>
      </c>
      <c r="J83" s="175">
        <f t="shared" si="20"/>
        <v>2844</v>
      </c>
      <c r="K83" s="175">
        <f t="shared" si="21"/>
        <v>0</v>
      </c>
      <c r="L83" s="75">
        <f t="shared" si="22"/>
        <v>0</v>
      </c>
      <c r="N83" s="194">
        <v>2260</v>
      </c>
      <c r="O83" s="217">
        <v>2569</v>
      </c>
      <c r="P83" s="198">
        <v>375</v>
      </c>
      <c r="R83" s="182">
        <v>2062</v>
      </c>
      <c r="S83" s="182">
        <f t="shared" si="25"/>
        <v>0.80264694433631767</v>
      </c>
    </row>
    <row r="84" spans="1:19" customFormat="1" ht="16.5" outlineLevel="1" thickBot="1" x14ac:dyDescent="0.25">
      <c r="A84" s="25" t="s">
        <v>379</v>
      </c>
      <c r="B84" s="70" t="s">
        <v>3593</v>
      </c>
      <c r="C84" s="94" t="s">
        <v>549</v>
      </c>
      <c r="D84" s="123">
        <f t="shared" si="23"/>
        <v>4791.666666666667</v>
      </c>
      <c r="E84" s="123">
        <f t="shared" si="24"/>
        <v>958.33333333333348</v>
      </c>
      <c r="F84" s="123">
        <v>5750</v>
      </c>
      <c r="G84" s="75">
        <v>5750</v>
      </c>
      <c r="H84" s="75">
        <v>4791.67</v>
      </c>
      <c r="I84" s="75">
        <v>958.33</v>
      </c>
      <c r="J84" s="175">
        <f t="shared" si="20"/>
        <v>5750</v>
      </c>
      <c r="K84" s="175">
        <f t="shared" si="21"/>
        <v>0</v>
      </c>
      <c r="L84" s="75">
        <f t="shared" si="22"/>
        <v>0</v>
      </c>
      <c r="N84" s="194">
        <v>4895</v>
      </c>
      <c r="O84" s="217">
        <v>5475</v>
      </c>
      <c r="P84" s="198">
        <v>375</v>
      </c>
      <c r="R84" s="182">
        <v>4464</v>
      </c>
      <c r="S84" s="182">
        <f t="shared" si="25"/>
        <v>0.81534246575342462</v>
      </c>
    </row>
    <row r="85" spans="1:19" customFormat="1" ht="16.5" outlineLevel="1" thickBot="1" x14ac:dyDescent="0.25">
      <c r="A85" s="25" t="s">
        <v>1927</v>
      </c>
      <c r="B85" s="70" t="s">
        <v>3594</v>
      </c>
      <c r="C85" s="94" t="s">
        <v>549</v>
      </c>
      <c r="D85" s="123">
        <f t="shared" si="23"/>
        <v>6656.666666666667</v>
      </c>
      <c r="E85" s="123">
        <f t="shared" si="24"/>
        <v>1331.3333333333335</v>
      </c>
      <c r="F85" s="123">
        <v>7988</v>
      </c>
      <c r="G85" s="75">
        <v>7988</v>
      </c>
      <c r="H85" s="75">
        <v>6656.67</v>
      </c>
      <c r="I85" s="75">
        <v>1331.33</v>
      </c>
      <c r="J85" s="175">
        <f t="shared" si="20"/>
        <v>7988</v>
      </c>
      <c r="K85" s="175">
        <f t="shared" si="21"/>
        <v>0</v>
      </c>
      <c r="L85" s="75">
        <f t="shared" si="22"/>
        <v>0</v>
      </c>
      <c r="N85" s="194">
        <v>6925</v>
      </c>
      <c r="O85" s="217">
        <v>7713</v>
      </c>
      <c r="P85" s="198">
        <v>375</v>
      </c>
      <c r="R85" s="182">
        <v>6322</v>
      </c>
      <c r="S85" s="182">
        <f t="shared" si="25"/>
        <v>0.81965512770646964</v>
      </c>
    </row>
    <row r="86" spans="1:19" customFormat="1" ht="16.5" outlineLevel="1" thickBot="1" x14ac:dyDescent="0.25">
      <c r="A86" s="25" t="s">
        <v>1928</v>
      </c>
      <c r="B86" s="70" t="s">
        <v>3595</v>
      </c>
      <c r="C86" s="94" t="s">
        <v>549</v>
      </c>
      <c r="D86" s="123">
        <f t="shared" si="23"/>
        <v>8248.3333333333339</v>
      </c>
      <c r="E86" s="123">
        <f t="shared" si="24"/>
        <v>1649.666666666667</v>
      </c>
      <c r="F86" s="123">
        <v>9898</v>
      </c>
      <c r="G86" s="75">
        <v>9898</v>
      </c>
      <c r="H86" s="75">
        <v>8248.33</v>
      </c>
      <c r="I86" s="75">
        <v>1649.67</v>
      </c>
      <c r="J86" s="175">
        <f t="shared" si="20"/>
        <v>9898</v>
      </c>
      <c r="K86" s="175">
        <f t="shared" si="21"/>
        <v>0</v>
      </c>
      <c r="L86" s="75">
        <f t="shared" si="22"/>
        <v>0</v>
      </c>
      <c r="N86" s="194">
        <v>8760</v>
      </c>
      <c r="O86" s="217">
        <v>9623</v>
      </c>
      <c r="P86" s="198">
        <v>375</v>
      </c>
      <c r="R86" s="182">
        <v>7904</v>
      </c>
      <c r="S86" s="182">
        <f t="shared" si="25"/>
        <v>0.82136547854099551</v>
      </c>
    </row>
    <row r="87" spans="1:19" s="83" customFormat="1" ht="19.5" thickBot="1" x14ac:dyDescent="0.25">
      <c r="A87" s="407" t="s">
        <v>1913</v>
      </c>
      <c r="B87" s="452"/>
      <c r="C87" s="452"/>
      <c r="D87" s="452"/>
      <c r="E87" s="452"/>
      <c r="F87" s="409"/>
      <c r="G87" s="75"/>
      <c r="H87" s="75"/>
      <c r="I87" s="75"/>
      <c r="J87" s="175"/>
      <c r="K87" s="175"/>
      <c r="L87" s="75"/>
      <c r="P87" s="198"/>
      <c r="S87" s="182"/>
    </row>
    <row r="88" spans="1:19" customFormat="1" ht="246" customHeight="1" outlineLevel="1" thickBot="1" x14ac:dyDescent="0.25">
      <c r="A88" s="25" t="s">
        <v>159</v>
      </c>
      <c r="B88" s="181" t="s">
        <v>3597</v>
      </c>
      <c r="C88" s="94" t="s">
        <v>549</v>
      </c>
      <c r="D88" s="123">
        <f t="shared" ref="D88:D92" si="26">F88/1.2</f>
        <v>2830.8333333333335</v>
      </c>
      <c r="E88" s="123">
        <f t="shared" si="24"/>
        <v>566.16666666666674</v>
      </c>
      <c r="F88" s="123">
        <v>3397</v>
      </c>
      <c r="G88" s="75">
        <v>3397</v>
      </c>
      <c r="H88" s="75">
        <v>2830.83</v>
      </c>
      <c r="I88" s="75">
        <v>566.16999999999996</v>
      </c>
      <c r="J88" s="175">
        <f t="shared" si="20"/>
        <v>3397</v>
      </c>
      <c r="K88" s="175">
        <f t="shared" si="21"/>
        <v>0</v>
      </c>
      <c r="L88" s="75">
        <f t="shared" si="22"/>
        <v>0</v>
      </c>
      <c r="N88" s="194">
        <v>2785</v>
      </c>
      <c r="O88" s="217">
        <v>3122</v>
      </c>
      <c r="P88" s="198">
        <v>375</v>
      </c>
      <c r="R88" s="182">
        <v>2543</v>
      </c>
      <c r="S88" s="182">
        <f t="shared" si="25"/>
        <v>0.81454196028187065</v>
      </c>
    </row>
    <row r="89" spans="1:19" customFormat="1" ht="48" outlineLevel="1" thickBot="1" x14ac:dyDescent="0.25">
      <c r="A89" s="25" t="s">
        <v>160</v>
      </c>
      <c r="B89" s="70" t="s">
        <v>3596</v>
      </c>
      <c r="C89" s="94" t="s">
        <v>549</v>
      </c>
      <c r="D89" s="123">
        <f t="shared" si="26"/>
        <v>2490</v>
      </c>
      <c r="E89" s="123">
        <f t="shared" si="24"/>
        <v>498</v>
      </c>
      <c r="F89" s="123">
        <v>2988</v>
      </c>
      <c r="G89" s="75">
        <v>2988</v>
      </c>
      <c r="H89" s="75">
        <v>2490</v>
      </c>
      <c r="I89" s="75">
        <v>498</v>
      </c>
      <c r="J89" s="175">
        <f t="shared" si="20"/>
        <v>2988</v>
      </c>
      <c r="K89" s="175">
        <f t="shared" si="21"/>
        <v>0</v>
      </c>
      <c r="L89" s="75">
        <f t="shared" si="22"/>
        <v>0</v>
      </c>
      <c r="N89" s="194">
        <v>2275</v>
      </c>
      <c r="O89" s="217">
        <v>2713</v>
      </c>
      <c r="P89" s="198">
        <v>375</v>
      </c>
      <c r="R89" s="182">
        <v>2115</v>
      </c>
      <c r="S89" s="182">
        <f t="shared" si="25"/>
        <v>0.77957980095834867</v>
      </c>
    </row>
    <row r="90" spans="1:19" customFormat="1" ht="139.5" customHeight="1" outlineLevel="1" thickBot="1" x14ac:dyDescent="0.25">
      <c r="A90" s="25" t="s">
        <v>161</v>
      </c>
      <c r="B90" s="365" t="s">
        <v>3598</v>
      </c>
      <c r="C90" s="94" t="s">
        <v>549</v>
      </c>
      <c r="D90" s="123">
        <f t="shared" si="26"/>
        <v>2490</v>
      </c>
      <c r="E90" s="123">
        <f t="shared" si="24"/>
        <v>498</v>
      </c>
      <c r="F90" s="123">
        <v>2988</v>
      </c>
      <c r="G90" s="75">
        <v>2988</v>
      </c>
      <c r="H90" s="75">
        <v>2490</v>
      </c>
      <c r="I90" s="75">
        <v>498</v>
      </c>
      <c r="J90" s="175">
        <f t="shared" si="20"/>
        <v>2988</v>
      </c>
      <c r="K90" s="175">
        <f t="shared" si="21"/>
        <v>0</v>
      </c>
      <c r="L90" s="75">
        <f t="shared" si="22"/>
        <v>0</v>
      </c>
      <c r="N90" s="194">
        <v>2275</v>
      </c>
      <c r="O90" s="217">
        <v>2713</v>
      </c>
      <c r="P90" s="198">
        <v>375</v>
      </c>
      <c r="R90" s="182">
        <v>2115</v>
      </c>
      <c r="S90" s="182">
        <f t="shared" si="25"/>
        <v>0.77957980095834867</v>
      </c>
    </row>
    <row r="91" spans="1:19" customFormat="1" ht="16.5" outlineLevel="1" thickBot="1" x14ac:dyDescent="0.25">
      <c r="A91" s="25" t="s">
        <v>1692</v>
      </c>
      <c r="B91" s="70" t="s">
        <v>1777</v>
      </c>
      <c r="C91" s="94" t="s">
        <v>549</v>
      </c>
      <c r="D91" s="123">
        <f t="shared" si="26"/>
        <v>2672.5</v>
      </c>
      <c r="E91" s="123">
        <f t="shared" si="24"/>
        <v>534.5</v>
      </c>
      <c r="F91" s="123">
        <v>3207</v>
      </c>
      <c r="G91" s="75">
        <v>3207</v>
      </c>
      <c r="H91" s="75">
        <v>2672.5</v>
      </c>
      <c r="I91" s="75">
        <v>534.5</v>
      </c>
      <c r="J91" s="175">
        <f t="shared" si="20"/>
        <v>3207</v>
      </c>
      <c r="K91" s="175">
        <f t="shared" si="21"/>
        <v>0</v>
      </c>
      <c r="L91" s="75">
        <f t="shared" si="22"/>
        <v>0</v>
      </c>
      <c r="N91" s="194">
        <v>2635</v>
      </c>
      <c r="O91" s="217">
        <v>2932</v>
      </c>
      <c r="P91" s="198">
        <v>375</v>
      </c>
      <c r="R91" s="182">
        <v>2407</v>
      </c>
      <c r="S91" s="182">
        <f t="shared" si="25"/>
        <v>0.82094133697135063</v>
      </c>
    </row>
    <row r="92" spans="1:19" customFormat="1" ht="111" outlineLevel="1" thickBot="1" x14ac:dyDescent="0.25">
      <c r="A92" s="25" t="s">
        <v>1693</v>
      </c>
      <c r="B92" s="365" t="s">
        <v>3599</v>
      </c>
      <c r="C92" s="94" t="s">
        <v>549</v>
      </c>
      <c r="D92" s="123">
        <f t="shared" si="26"/>
        <v>2715.8333333333335</v>
      </c>
      <c r="E92" s="123">
        <f t="shared" si="24"/>
        <v>543.16666666666674</v>
      </c>
      <c r="F92" s="123">
        <v>3259</v>
      </c>
      <c r="G92" s="75">
        <v>3259</v>
      </c>
      <c r="H92" s="75">
        <v>2715.83</v>
      </c>
      <c r="I92" s="75">
        <v>543.16999999999996</v>
      </c>
      <c r="J92" s="175">
        <f t="shared" si="20"/>
        <v>3259</v>
      </c>
      <c r="K92" s="175">
        <f t="shared" si="21"/>
        <v>0</v>
      </c>
      <c r="L92" s="75">
        <f t="shared" si="22"/>
        <v>0</v>
      </c>
      <c r="N92" s="194">
        <v>2635</v>
      </c>
      <c r="O92" s="217">
        <v>2984</v>
      </c>
      <c r="P92" s="198">
        <v>375</v>
      </c>
      <c r="R92" s="182">
        <v>2407</v>
      </c>
      <c r="S92" s="182">
        <f t="shared" si="25"/>
        <v>0.80663538873994634</v>
      </c>
    </row>
    <row r="93" spans="1:19" s="83" customFormat="1" ht="18.75" x14ac:dyDescent="0.2">
      <c r="A93" s="407" t="s">
        <v>1914</v>
      </c>
      <c r="B93" s="452"/>
      <c r="C93" s="452"/>
      <c r="D93" s="452"/>
      <c r="E93" s="452"/>
      <c r="F93" s="409"/>
      <c r="G93" s="75"/>
      <c r="H93" s="75"/>
      <c r="I93" s="75"/>
      <c r="J93" s="175"/>
      <c r="K93" s="175"/>
      <c r="L93" s="75"/>
      <c r="P93" s="198"/>
      <c r="S93" s="182"/>
    </row>
    <row r="94" spans="1:19" customFormat="1" ht="179.25" customHeight="1" outlineLevel="1" x14ac:dyDescent="0.2">
      <c r="A94" s="25" t="s">
        <v>155</v>
      </c>
      <c r="B94" s="365" t="s">
        <v>3600</v>
      </c>
      <c r="C94" s="94" t="s">
        <v>549</v>
      </c>
      <c r="D94" s="123">
        <f t="shared" ref="D94:D152" si="27">F94/1.2</f>
        <v>2787.5</v>
      </c>
      <c r="E94" s="123">
        <f t="shared" si="24"/>
        <v>557.5</v>
      </c>
      <c r="F94" s="123">
        <v>3345</v>
      </c>
      <c r="G94" s="75">
        <v>3345</v>
      </c>
      <c r="H94" s="75">
        <v>2787.5</v>
      </c>
      <c r="I94" s="75">
        <v>557.5</v>
      </c>
      <c r="J94" s="175">
        <f t="shared" si="20"/>
        <v>3345</v>
      </c>
      <c r="K94" s="175">
        <f t="shared" si="21"/>
        <v>0</v>
      </c>
      <c r="L94" s="75">
        <f t="shared" si="22"/>
        <v>0</v>
      </c>
      <c r="O94" s="217">
        <v>3070</v>
      </c>
      <c r="P94" s="198">
        <v>375</v>
      </c>
      <c r="R94" s="182">
        <v>2543</v>
      </c>
      <c r="S94" s="182">
        <f t="shared" si="25"/>
        <v>0.8283387622149837</v>
      </c>
    </row>
    <row r="95" spans="1:19" customFormat="1" ht="31.5" outlineLevel="1" x14ac:dyDescent="0.2">
      <c r="A95" s="25" t="s">
        <v>156</v>
      </c>
      <c r="B95" s="70" t="s">
        <v>1622</v>
      </c>
      <c r="C95" s="94" t="s">
        <v>549</v>
      </c>
      <c r="D95" s="123">
        <f t="shared" si="27"/>
        <v>2715.8333333333335</v>
      </c>
      <c r="E95" s="123">
        <f t="shared" si="24"/>
        <v>543.16666666666674</v>
      </c>
      <c r="F95" s="123">
        <v>3259</v>
      </c>
      <c r="G95" s="75">
        <v>3259</v>
      </c>
      <c r="H95" s="75">
        <v>2715.83</v>
      </c>
      <c r="I95" s="75">
        <v>543.16999999999996</v>
      </c>
      <c r="J95" s="175">
        <f t="shared" si="20"/>
        <v>3259</v>
      </c>
      <c r="K95" s="175">
        <f t="shared" si="21"/>
        <v>0</v>
      </c>
      <c r="L95" s="75">
        <f t="shared" si="22"/>
        <v>0</v>
      </c>
      <c r="O95" s="217">
        <v>2984</v>
      </c>
      <c r="P95" s="198">
        <v>375</v>
      </c>
      <c r="R95" s="182">
        <v>2407</v>
      </c>
      <c r="S95" s="182">
        <f t="shared" si="25"/>
        <v>0.80663538873994634</v>
      </c>
    </row>
    <row r="96" spans="1:19" customFormat="1" ht="31.5" outlineLevel="1" x14ac:dyDescent="0.2">
      <c r="A96" s="25" t="s">
        <v>157</v>
      </c>
      <c r="B96" s="70" t="s">
        <v>1623</v>
      </c>
      <c r="C96" s="94" t="s">
        <v>549</v>
      </c>
      <c r="D96" s="123">
        <f t="shared" si="27"/>
        <v>2490</v>
      </c>
      <c r="E96" s="123">
        <f t="shared" si="24"/>
        <v>498</v>
      </c>
      <c r="F96" s="123">
        <v>2988</v>
      </c>
      <c r="G96" s="75">
        <v>2988</v>
      </c>
      <c r="H96" s="75">
        <v>2490</v>
      </c>
      <c r="I96" s="75">
        <v>498</v>
      </c>
      <c r="J96" s="175">
        <f t="shared" si="20"/>
        <v>2988</v>
      </c>
      <c r="K96" s="175">
        <f t="shared" si="21"/>
        <v>0</v>
      </c>
      <c r="L96" s="75">
        <f t="shared" si="22"/>
        <v>0</v>
      </c>
      <c r="O96" s="217">
        <v>2713</v>
      </c>
      <c r="P96" s="198">
        <v>375</v>
      </c>
      <c r="R96" s="182">
        <v>2115</v>
      </c>
      <c r="S96" s="182">
        <f t="shared" si="25"/>
        <v>0.77957980095834867</v>
      </c>
    </row>
    <row r="97" spans="1:19" customFormat="1" ht="47.25" outlineLevel="1" x14ac:dyDescent="0.2">
      <c r="A97" s="25" t="s">
        <v>158</v>
      </c>
      <c r="B97" s="70" t="s">
        <v>1624</v>
      </c>
      <c r="C97" s="94" t="s">
        <v>549</v>
      </c>
      <c r="D97" s="123">
        <f t="shared" si="27"/>
        <v>3302.5</v>
      </c>
      <c r="E97" s="123">
        <f t="shared" si="24"/>
        <v>660.5</v>
      </c>
      <c r="F97" s="123">
        <v>3963</v>
      </c>
      <c r="G97" s="75">
        <v>3963</v>
      </c>
      <c r="H97" s="75">
        <v>3302.5</v>
      </c>
      <c r="I97" s="75">
        <v>660.5</v>
      </c>
      <c r="J97" s="175">
        <f t="shared" si="20"/>
        <v>3963</v>
      </c>
      <c r="K97" s="175">
        <f t="shared" si="21"/>
        <v>0</v>
      </c>
      <c r="L97" s="75">
        <f t="shared" si="22"/>
        <v>0</v>
      </c>
      <c r="O97" s="217">
        <v>3688</v>
      </c>
      <c r="P97" s="198">
        <v>375</v>
      </c>
      <c r="R97" s="182">
        <v>2864</v>
      </c>
      <c r="S97" s="182">
        <f t="shared" si="25"/>
        <v>0.77657266811279824</v>
      </c>
    </row>
    <row r="98" spans="1:19" customFormat="1" outlineLevel="1" x14ac:dyDescent="0.2">
      <c r="A98" s="25" t="s">
        <v>165</v>
      </c>
      <c r="B98" s="70" t="s">
        <v>1617</v>
      </c>
      <c r="C98" s="94" t="s">
        <v>549</v>
      </c>
      <c r="D98" s="123">
        <f t="shared" si="27"/>
        <v>2647.5</v>
      </c>
      <c r="E98" s="123">
        <f t="shared" si="24"/>
        <v>529.5</v>
      </c>
      <c r="F98" s="123">
        <v>3177</v>
      </c>
      <c r="G98" s="75">
        <v>3177</v>
      </c>
      <c r="H98" s="75">
        <v>2647.5</v>
      </c>
      <c r="I98" s="75">
        <v>529.5</v>
      </c>
      <c r="J98" s="175">
        <f t="shared" si="20"/>
        <v>3177</v>
      </c>
      <c r="K98" s="175">
        <f t="shared" si="21"/>
        <v>0</v>
      </c>
      <c r="L98" s="75">
        <f t="shared" si="22"/>
        <v>0</v>
      </c>
      <c r="O98" s="217">
        <v>2902</v>
      </c>
      <c r="P98" s="198">
        <v>375</v>
      </c>
      <c r="R98" s="182">
        <v>2339</v>
      </c>
      <c r="S98" s="182">
        <f t="shared" si="25"/>
        <v>0.80599586492074426</v>
      </c>
    </row>
    <row r="99" spans="1:19" customFormat="1" ht="31.5" outlineLevel="1" x14ac:dyDescent="0.2">
      <c r="A99" s="25" t="s">
        <v>166</v>
      </c>
      <c r="B99" s="70" t="s">
        <v>1618</v>
      </c>
      <c r="C99" s="94" t="s">
        <v>549</v>
      </c>
      <c r="D99" s="123">
        <f t="shared" si="27"/>
        <v>2762.5</v>
      </c>
      <c r="E99" s="123">
        <f t="shared" si="24"/>
        <v>552.5</v>
      </c>
      <c r="F99" s="123">
        <v>3315</v>
      </c>
      <c r="G99" s="75">
        <v>3315</v>
      </c>
      <c r="H99" s="75">
        <v>2762.5</v>
      </c>
      <c r="I99" s="75">
        <v>552.5</v>
      </c>
      <c r="J99" s="175">
        <f t="shared" si="20"/>
        <v>3315</v>
      </c>
      <c r="K99" s="175">
        <f t="shared" si="21"/>
        <v>0</v>
      </c>
      <c r="L99" s="75">
        <f t="shared" si="22"/>
        <v>0</v>
      </c>
      <c r="O99" s="217">
        <v>3040</v>
      </c>
      <c r="P99" s="198">
        <v>375</v>
      </c>
      <c r="R99" s="182">
        <v>2475</v>
      </c>
      <c r="S99" s="182">
        <f t="shared" si="25"/>
        <v>0.81414473684210531</v>
      </c>
    </row>
    <row r="100" spans="1:19" customFormat="1" ht="31.5" outlineLevel="1" x14ac:dyDescent="0.2">
      <c r="A100" s="25" t="s">
        <v>167</v>
      </c>
      <c r="B100" s="70" t="s">
        <v>1619</v>
      </c>
      <c r="C100" s="94" t="s">
        <v>549</v>
      </c>
      <c r="D100" s="123">
        <f t="shared" si="27"/>
        <v>2694.166666666667</v>
      </c>
      <c r="E100" s="123">
        <f t="shared" si="24"/>
        <v>538.83333333333337</v>
      </c>
      <c r="F100" s="123">
        <v>3233</v>
      </c>
      <c r="G100" s="75">
        <v>3233</v>
      </c>
      <c r="H100" s="75">
        <v>2694.17</v>
      </c>
      <c r="I100" s="75">
        <v>538.83000000000004</v>
      </c>
      <c r="J100" s="175">
        <f t="shared" si="20"/>
        <v>3233</v>
      </c>
      <c r="K100" s="175">
        <f t="shared" si="21"/>
        <v>0</v>
      </c>
      <c r="L100" s="75">
        <f t="shared" si="22"/>
        <v>0</v>
      </c>
      <c r="O100" s="217">
        <v>2958</v>
      </c>
      <c r="P100" s="198">
        <v>375</v>
      </c>
      <c r="R100" s="182">
        <v>2407</v>
      </c>
      <c r="S100" s="182">
        <f t="shared" si="25"/>
        <v>0.81372549019607843</v>
      </c>
    </row>
    <row r="101" spans="1:19" customFormat="1" ht="31.5" outlineLevel="1" x14ac:dyDescent="0.2">
      <c r="A101" s="25" t="s">
        <v>168</v>
      </c>
      <c r="B101" s="70" t="s">
        <v>1625</v>
      </c>
      <c r="C101" s="94" t="s">
        <v>549</v>
      </c>
      <c r="D101" s="123">
        <f t="shared" si="27"/>
        <v>2390.8333333333335</v>
      </c>
      <c r="E101" s="123">
        <f t="shared" si="24"/>
        <v>478.16666666666674</v>
      </c>
      <c r="F101" s="123">
        <v>2869</v>
      </c>
      <c r="G101" s="75">
        <v>2869</v>
      </c>
      <c r="H101" s="75">
        <v>2390.83</v>
      </c>
      <c r="I101" s="75">
        <v>478.17</v>
      </c>
      <c r="J101" s="175">
        <f t="shared" si="20"/>
        <v>2869</v>
      </c>
      <c r="K101" s="175">
        <f t="shared" si="21"/>
        <v>0</v>
      </c>
      <c r="L101" s="75">
        <f t="shared" si="22"/>
        <v>0</v>
      </c>
      <c r="O101" s="217">
        <v>2594</v>
      </c>
      <c r="P101" s="198">
        <v>375</v>
      </c>
      <c r="R101" s="182">
        <v>2062</v>
      </c>
      <c r="S101" s="182">
        <f t="shared" si="25"/>
        <v>0.79491133384734003</v>
      </c>
    </row>
    <row r="102" spans="1:19" customFormat="1" ht="47.25" outlineLevel="1" x14ac:dyDescent="0.2">
      <c r="A102" s="25" t="s">
        <v>169</v>
      </c>
      <c r="B102" s="364" t="s">
        <v>3601</v>
      </c>
      <c r="C102" s="94" t="s">
        <v>549</v>
      </c>
      <c r="D102" s="123">
        <f t="shared" si="27"/>
        <v>2647.5</v>
      </c>
      <c r="E102" s="123">
        <f t="shared" si="24"/>
        <v>529.5</v>
      </c>
      <c r="F102" s="123">
        <v>3177</v>
      </c>
      <c r="G102" s="75">
        <v>3177</v>
      </c>
      <c r="H102" s="75">
        <v>2647.5</v>
      </c>
      <c r="I102" s="75">
        <v>529.5</v>
      </c>
      <c r="J102" s="175">
        <f t="shared" si="20"/>
        <v>3177</v>
      </c>
      <c r="K102" s="175">
        <f t="shared" si="21"/>
        <v>0</v>
      </c>
      <c r="L102" s="75">
        <f t="shared" si="22"/>
        <v>0</v>
      </c>
      <c r="O102" s="217">
        <v>2902</v>
      </c>
      <c r="P102" s="198">
        <v>375</v>
      </c>
      <c r="R102" s="182">
        <v>2339</v>
      </c>
      <c r="S102" s="182">
        <f t="shared" si="25"/>
        <v>0.80599586492074426</v>
      </c>
    </row>
    <row r="103" spans="1:19" customFormat="1" outlineLevel="1" x14ac:dyDescent="0.2">
      <c r="A103" s="25" t="s">
        <v>170</v>
      </c>
      <c r="B103" s="70" t="s">
        <v>1620</v>
      </c>
      <c r="C103" s="94" t="s">
        <v>549</v>
      </c>
      <c r="D103" s="123">
        <f t="shared" si="27"/>
        <v>2505.8333333333335</v>
      </c>
      <c r="E103" s="123">
        <f t="shared" si="24"/>
        <v>501.16666666666674</v>
      </c>
      <c r="F103" s="123">
        <v>3007</v>
      </c>
      <c r="G103" s="75">
        <v>3007</v>
      </c>
      <c r="H103" s="75">
        <v>2505.83</v>
      </c>
      <c r="I103" s="75">
        <v>501.17</v>
      </c>
      <c r="J103" s="175">
        <f t="shared" si="20"/>
        <v>3007</v>
      </c>
      <c r="K103" s="175">
        <f t="shared" si="21"/>
        <v>0</v>
      </c>
      <c r="L103" s="75">
        <f t="shared" si="22"/>
        <v>0</v>
      </c>
      <c r="O103" s="217">
        <v>2732</v>
      </c>
      <c r="P103" s="198">
        <v>375</v>
      </c>
      <c r="R103" s="182">
        <v>2198</v>
      </c>
      <c r="S103" s="182">
        <f t="shared" si="25"/>
        <v>0.80453879941434847</v>
      </c>
    </row>
    <row r="104" spans="1:19" customFormat="1" ht="31.5" outlineLevel="1" x14ac:dyDescent="0.2">
      <c r="A104" s="25" t="s">
        <v>171</v>
      </c>
      <c r="B104" s="365" t="s">
        <v>3602</v>
      </c>
      <c r="C104" s="94" t="s">
        <v>549</v>
      </c>
      <c r="D104" s="123">
        <f t="shared" si="27"/>
        <v>2669.166666666667</v>
      </c>
      <c r="E104" s="123">
        <f t="shared" si="24"/>
        <v>533.83333333333337</v>
      </c>
      <c r="F104" s="123">
        <v>3203</v>
      </c>
      <c r="G104" s="75">
        <v>3203</v>
      </c>
      <c r="H104" s="75">
        <v>2669.17</v>
      </c>
      <c r="I104" s="75">
        <v>533.83000000000004</v>
      </c>
      <c r="J104" s="175">
        <f t="shared" si="20"/>
        <v>3203</v>
      </c>
      <c r="K104" s="175">
        <f t="shared" si="21"/>
        <v>0</v>
      </c>
      <c r="L104" s="75">
        <f t="shared" si="22"/>
        <v>0</v>
      </c>
      <c r="O104" s="217">
        <v>2928</v>
      </c>
      <c r="P104" s="198">
        <v>375</v>
      </c>
      <c r="R104" s="182">
        <v>2339</v>
      </c>
      <c r="S104" s="182">
        <f t="shared" si="25"/>
        <v>0.79883879781420764</v>
      </c>
    </row>
    <row r="105" spans="1:19" customFormat="1" ht="78.75" outlineLevel="1" x14ac:dyDescent="0.2">
      <c r="A105" s="25" t="s">
        <v>172</v>
      </c>
      <c r="B105" s="70" t="s">
        <v>3603</v>
      </c>
      <c r="C105" s="94" t="s">
        <v>549</v>
      </c>
      <c r="D105" s="123">
        <f t="shared" si="27"/>
        <v>2579.166666666667</v>
      </c>
      <c r="E105" s="123">
        <f t="shared" si="24"/>
        <v>515.83333333333337</v>
      </c>
      <c r="F105" s="123">
        <v>3095</v>
      </c>
      <c r="G105" s="75">
        <v>3095</v>
      </c>
      <c r="H105" s="75">
        <v>2579.17</v>
      </c>
      <c r="I105" s="75">
        <v>515.83000000000004</v>
      </c>
      <c r="J105" s="175">
        <f t="shared" si="20"/>
        <v>3095</v>
      </c>
      <c r="K105" s="175">
        <f t="shared" si="21"/>
        <v>0</v>
      </c>
      <c r="L105" s="75">
        <f t="shared" si="22"/>
        <v>0</v>
      </c>
      <c r="O105" s="217">
        <v>2820</v>
      </c>
      <c r="P105" s="198">
        <v>375</v>
      </c>
      <c r="R105" s="182">
        <v>2271</v>
      </c>
      <c r="S105" s="182">
        <f t="shared" si="25"/>
        <v>0.80531914893617018</v>
      </c>
    </row>
    <row r="106" spans="1:19" customFormat="1" ht="32.25" outlineLevel="1" thickBot="1" x14ac:dyDescent="0.25">
      <c r="A106" s="25" t="s">
        <v>173</v>
      </c>
      <c r="B106" s="181" t="s">
        <v>1621</v>
      </c>
      <c r="C106" s="94" t="s">
        <v>549</v>
      </c>
      <c r="D106" s="123">
        <f t="shared" si="27"/>
        <v>2762.5</v>
      </c>
      <c r="E106" s="123">
        <f t="shared" si="24"/>
        <v>552.5</v>
      </c>
      <c r="F106" s="123">
        <v>3315</v>
      </c>
      <c r="G106" s="75">
        <v>3315</v>
      </c>
      <c r="H106" s="75">
        <v>2762.5</v>
      </c>
      <c r="I106" s="75">
        <v>552.5</v>
      </c>
      <c r="J106" s="175">
        <f t="shared" si="20"/>
        <v>3315</v>
      </c>
      <c r="K106" s="175">
        <f t="shared" si="21"/>
        <v>0</v>
      </c>
      <c r="L106" s="75">
        <f t="shared" si="22"/>
        <v>0</v>
      </c>
      <c r="O106" s="217">
        <v>3040</v>
      </c>
      <c r="P106" s="198">
        <v>375</v>
      </c>
      <c r="R106" s="182">
        <v>2475</v>
      </c>
      <c r="S106" s="182">
        <f t="shared" si="25"/>
        <v>0.81414473684210531</v>
      </c>
    </row>
    <row r="107" spans="1:19" customFormat="1" ht="32.25" outlineLevel="1" thickBot="1" x14ac:dyDescent="0.25">
      <c r="A107" s="25" t="s">
        <v>174</v>
      </c>
      <c r="B107" s="181" t="s">
        <v>3604</v>
      </c>
      <c r="C107" s="94" t="s">
        <v>549</v>
      </c>
      <c r="D107" s="123">
        <f t="shared" si="27"/>
        <v>2740.8333333333335</v>
      </c>
      <c r="E107" s="123">
        <f t="shared" si="24"/>
        <v>548.16666666666674</v>
      </c>
      <c r="F107" s="123">
        <v>3289</v>
      </c>
      <c r="G107" s="75">
        <v>3289</v>
      </c>
      <c r="H107" s="75">
        <v>2740.83</v>
      </c>
      <c r="I107" s="75">
        <v>548.16999999999996</v>
      </c>
      <c r="J107" s="175">
        <f t="shared" si="20"/>
        <v>3289</v>
      </c>
      <c r="K107" s="175">
        <f t="shared" si="21"/>
        <v>0</v>
      </c>
      <c r="L107" s="75">
        <f t="shared" si="22"/>
        <v>0</v>
      </c>
      <c r="N107" s="194">
        <v>2710</v>
      </c>
      <c r="O107" s="217">
        <v>3014</v>
      </c>
      <c r="P107" s="198">
        <v>375</v>
      </c>
      <c r="R107" s="182">
        <v>2475</v>
      </c>
      <c r="S107" s="182">
        <f t="shared" si="25"/>
        <v>0.82116788321167888</v>
      </c>
    </row>
    <row r="108" spans="1:19" customFormat="1" ht="79.5" outlineLevel="1" thickBot="1" x14ac:dyDescent="0.25">
      <c r="A108" s="25" t="s">
        <v>175</v>
      </c>
      <c r="B108" s="181" t="s">
        <v>3605</v>
      </c>
      <c r="C108" s="94" t="s">
        <v>549</v>
      </c>
      <c r="D108" s="123">
        <f t="shared" si="27"/>
        <v>2557.5</v>
      </c>
      <c r="E108" s="123">
        <f t="shared" si="24"/>
        <v>511.5</v>
      </c>
      <c r="F108" s="123">
        <v>3069</v>
      </c>
      <c r="G108" s="75">
        <v>3069</v>
      </c>
      <c r="H108" s="75">
        <v>2557.5</v>
      </c>
      <c r="I108" s="75">
        <v>511.5</v>
      </c>
      <c r="J108" s="175">
        <f t="shared" si="20"/>
        <v>3069</v>
      </c>
      <c r="K108" s="175">
        <f t="shared" si="21"/>
        <v>0</v>
      </c>
      <c r="L108" s="75">
        <f t="shared" si="22"/>
        <v>0</v>
      </c>
      <c r="N108" s="194">
        <v>2485</v>
      </c>
      <c r="O108" s="217">
        <v>2794</v>
      </c>
      <c r="P108" s="198">
        <v>375</v>
      </c>
      <c r="R108" s="182">
        <v>2271</v>
      </c>
      <c r="S108" s="182">
        <f t="shared" si="25"/>
        <v>0.81281317108088758</v>
      </c>
    </row>
    <row r="109" spans="1:19" customFormat="1" ht="32.25" outlineLevel="1" thickBot="1" x14ac:dyDescent="0.25">
      <c r="A109" s="25" t="s">
        <v>208</v>
      </c>
      <c r="B109" s="181" t="s">
        <v>1803</v>
      </c>
      <c r="C109" s="94" t="s">
        <v>549</v>
      </c>
      <c r="D109" s="123">
        <f t="shared" si="27"/>
        <v>2390.8333333333335</v>
      </c>
      <c r="E109" s="123">
        <f t="shared" si="24"/>
        <v>478.16666666666674</v>
      </c>
      <c r="F109" s="123">
        <v>2869</v>
      </c>
      <c r="G109" s="75">
        <v>2869</v>
      </c>
      <c r="H109" s="75">
        <v>2390.83</v>
      </c>
      <c r="I109" s="75">
        <v>478.17</v>
      </c>
      <c r="J109" s="175">
        <f t="shared" si="20"/>
        <v>2869</v>
      </c>
      <c r="K109" s="175">
        <f t="shared" si="21"/>
        <v>0</v>
      </c>
      <c r="L109" s="75">
        <f t="shared" si="22"/>
        <v>0</v>
      </c>
      <c r="N109" s="194">
        <v>2260</v>
      </c>
      <c r="O109" s="217">
        <v>2594</v>
      </c>
      <c r="P109" s="198">
        <v>375</v>
      </c>
      <c r="R109" s="182">
        <v>2062</v>
      </c>
      <c r="S109" s="182">
        <f t="shared" si="25"/>
        <v>0.79491133384734003</v>
      </c>
    </row>
    <row r="110" spans="1:19" customFormat="1" ht="32.25" outlineLevel="1" thickBot="1" x14ac:dyDescent="0.25">
      <c r="A110" s="25" t="s">
        <v>209</v>
      </c>
      <c r="B110" s="181" t="s">
        <v>3606</v>
      </c>
      <c r="C110" s="94" t="s">
        <v>549</v>
      </c>
      <c r="D110" s="123">
        <f t="shared" si="27"/>
        <v>2390.8333333333335</v>
      </c>
      <c r="E110" s="123">
        <f t="shared" si="24"/>
        <v>478.16666666666674</v>
      </c>
      <c r="F110" s="123">
        <v>2869</v>
      </c>
      <c r="G110" s="75">
        <v>2869</v>
      </c>
      <c r="H110" s="75">
        <v>2390.83</v>
      </c>
      <c r="I110" s="75">
        <v>478.17</v>
      </c>
      <c r="J110" s="175">
        <f t="shared" si="20"/>
        <v>2869</v>
      </c>
      <c r="K110" s="175">
        <f t="shared" si="21"/>
        <v>0</v>
      </c>
      <c r="L110" s="75">
        <f t="shared" si="22"/>
        <v>0</v>
      </c>
      <c r="N110" s="194">
        <v>2260</v>
      </c>
      <c r="O110" s="217">
        <v>2594</v>
      </c>
      <c r="P110" s="198">
        <v>375</v>
      </c>
      <c r="R110" s="182">
        <v>2062</v>
      </c>
      <c r="S110" s="182">
        <f t="shared" si="25"/>
        <v>0.79491133384734003</v>
      </c>
    </row>
    <row r="111" spans="1:19" customFormat="1" ht="16.5" outlineLevel="1" thickBot="1" x14ac:dyDescent="0.25">
      <c r="A111" s="25" t="s">
        <v>210</v>
      </c>
      <c r="B111" s="181" t="s">
        <v>1801</v>
      </c>
      <c r="C111" s="94" t="s">
        <v>549</v>
      </c>
      <c r="D111" s="123">
        <f t="shared" si="27"/>
        <v>2390.8333333333335</v>
      </c>
      <c r="E111" s="123">
        <f t="shared" si="24"/>
        <v>478.16666666666674</v>
      </c>
      <c r="F111" s="123">
        <v>2869</v>
      </c>
      <c r="G111" s="75">
        <v>2869</v>
      </c>
      <c r="H111" s="75">
        <v>2390.83</v>
      </c>
      <c r="I111" s="75">
        <v>478.17</v>
      </c>
      <c r="J111" s="175">
        <f t="shared" si="20"/>
        <v>2869</v>
      </c>
      <c r="K111" s="175">
        <f t="shared" si="21"/>
        <v>0</v>
      </c>
      <c r="L111" s="75">
        <f t="shared" si="22"/>
        <v>0</v>
      </c>
      <c r="N111" s="194">
        <v>2260</v>
      </c>
      <c r="O111" s="217">
        <v>2594</v>
      </c>
      <c r="P111" s="198">
        <v>375</v>
      </c>
      <c r="R111" s="182">
        <v>2062</v>
      </c>
      <c r="S111" s="182">
        <f t="shared" si="25"/>
        <v>0.79491133384734003</v>
      </c>
    </row>
    <row r="112" spans="1:19" customFormat="1" ht="16.5" outlineLevel="1" thickBot="1" x14ac:dyDescent="0.25">
      <c r="A112" s="25" t="s">
        <v>211</v>
      </c>
      <c r="B112" s="181" t="s">
        <v>1802</v>
      </c>
      <c r="C112" s="94" t="s">
        <v>549</v>
      </c>
      <c r="D112" s="123">
        <f t="shared" si="27"/>
        <v>2232.5</v>
      </c>
      <c r="E112" s="123">
        <f t="shared" si="24"/>
        <v>446.5</v>
      </c>
      <c r="F112" s="123">
        <v>2679</v>
      </c>
      <c r="G112" s="75">
        <v>2679</v>
      </c>
      <c r="H112" s="75">
        <v>2232.5</v>
      </c>
      <c r="I112" s="75">
        <v>446.5</v>
      </c>
      <c r="J112" s="175">
        <f t="shared" si="20"/>
        <v>2679</v>
      </c>
      <c r="K112" s="175">
        <f t="shared" si="21"/>
        <v>0</v>
      </c>
      <c r="L112" s="75">
        <f t="shared" si="22"/>
        <v>0</v>
      </c>
      <c r="N112" s="194">
        <v>2110</v>
      </c>
      <c r="O112" s="217">
        <v>2404</v>
      </c>
      <c r="P112" s="198">
        <v>375</v>
      </c>
      <c r="R112" s="182">
        <v>1927</v>
      </c>
      <c r="S112" s="182">
        <f t="shared" si="25"/>
        <v>0.8015806988352745</v>
      </c>
    </row>
    <row r="113" spans="1:19" customFormat="1" ht="32.25" outlineLevel="1" thickBot="1" x14ac:dyDescent="0.25">
      <c r="A113" s="25" t="s">
        <v>176</v>
      </c>
      <c r="B113" s="181" t="s">
        <v>1800</v>
      </c>
      <c r="C113" s="94" t="s">
        <v>549</v>
      </c>
      <c r="D113" s="123">
        <f t="shared" si="27"/>
        <v>2232.5</v>
      </c>
      <c r="E113" s="123">
        <f t="shared" si="24"/>
        <v>446.5</v>
      </c>
      <c r="F113" s="123">
        <v>2679</v>
      </c>
      <c r="G113" s="75">
        <v>2679</v>
      </c>
      <c r="H113" s="75">
        <v>2232.5</v>
      </c>
      <c r="I113" s="75">
        <v>446.5</v>
      </c>
      <c r="J113" s="175">
        <f t="shared" si="20"/>
        <v>2679</v>
      </c>
      <c r="K113" s="175">
        <f t="shared" si="21"/>
        <v>0</v>
      </c>
      <c r="L113" s="75">
        <f t="shared" si="22"/>
        <v>0</v>
      </c>
      <c r="N113" s="194">
        <v>2110</v>
      </c>
      <c r="O113" s="217">
        <v>2404</v>
      </c>
      <c r="P113" s="198">
        <v>375</v>
      </c>
      <c r="R113" s="182">
        <v>1927</v>
      </c>
      <c r="S113" s="182">
        <f t="shared" si="25"/>
        <v>0.8015806988352745</v>
      </c>
    </row>
    <row r="114" spans="1:19" customFormat="1" ht="32.25" outlineLevel="1" thickBot="1" x14ac:dyDescent="0.25">
      <c r="A114" s="25" t="s">
        <v>177</v>
      </c>
      <c r="B114" s="181" t="s">
        <v>3607</v>
      </c>
      <c r="C114" s="94" t="s">
        <v>549</v>
      </c>
      <c r="D114" s="123">
        <f t="shared" si="27"/>
        <v>2528.3333333333335</v>
      </c>
      <c r="E114" s="123">
        <f t="shared" si="24"/>
        <v>505.66666666666674</v>
      </c>
      <c r="F114" s="123">
        <v>3034</v>
      </c>
      <c r="G114" s="75">
        <v>3034</v>
      </c>
      <c r="H114" s="75">
        <v>2528.33</v>
      </c>
      <c r="I114" s="75">
        <v>505.67</v>
      </c>
      <c r="J114" s="175">
        <f t="shared" si="20"/>
        <v>3034</v>
      </c>
      <c r="K114" s="175">
        <f t="shared" si="21"/>
        <v>0</v>
      </c>
      <c r="L114" s="75">
        <f t="shared" si="22"/>
        <v>0</v>
      </c>
      <c r="N114" s="194">
        <v>2340</v>
      </c>
      <c r="O114" s="217">
        <v>2759</v>
      </c>
      <c r="P114" s="198">
        <v>375</v>
      </c>
      <c r="R114" s="182">
        <v>2149</v>
      </c>
      <c r="S114" s="182">
        <f t="shared" si="25"/>
        <v>0.77890540050743018</v>
      </c>
    </row>
    <row r="115" spans="1:19" customFormat="1" ht="32.25" outlineLevel="1" thickBot="1" x14ac:dyDescent="0.25">
      <c r="A115" s="25" t="s">
        <v>178</v>
      </c>
      <c r="B115" s="181" t="s">
        <v>3608</v>
      </c>
      <c r="C115" s="94" t="s">
        <v>549</v>
      </c>
      <c r="D115" s="123">
        <f t="shared" si="27"/>
        <v>2579.166666666667</v>
      </c>
      <c r="E115" s="123">
        <f t="shared" si="24"/>
        <v>515.83333333333337</v>
      </c>
      <c r="F115" s="123">
        <v>3095</v>
      </c>
      <c r="G115" s="75">
        <v>3095</v>
      </c>
      <c r="H115" s="75">
        <v>2579.17</v>
      </c>
      <c r="I115" s="75">
        <v>515.83000000000004</v>
      </c>
      <c r="J115" s="175">
        <f t="shared" si="20"/>
        <v>3095</v>
      </c>
      <c r="K115" s="175">
        <f t="shared" si="21"/>
        <v>0</v>
      </c>
      <c r="L115" s="75">
        <f t="shared" si="22"/>
        <v>0</v>
      </c>
      <c r="N115" s="194">
        <v>2485</v>
      </c>
      <c r="O115" s="217">
        <v>2820</v>
      </c>
      <c r="P115" s="198">
        <v>375</v>
      </c>
      <c r="R115" s="182">
        <v>2271</v>
      </c>
      <c r="S115" s="182">
        <f t="shared" si="25"/>
        <v>0.80531914893617018</v>
      </c>
    </row>
    <row r="116" spans="1:19" customFormat="1" ht="48" outlineLevel="1" thickBot="1" x14ac:dyDescent="0.25">
      <c r="A116" s="25" t="s">
        <v>179</v>
      </c>
      <c r="B116" s="181" t="s">
        <v>2687</v>
      </c>
      <c r="C116" s="94" t="s">
        <v>549</v>
      </c>
      <c r="D116" s="123">
        <f t="shared" si="27"/>
        <v>2365</v>
      </c>
      <c r="E116" s="123">
        <f t="shared" si="24"/>
        <v>473</v>
      </c>
      <c r="F116" s="123">
        <v>2838</v>
      </c>
      <c r="G116" s="75">
        <v>2838</v>
      </c>
      <c r="H116" s="75">
        <v>2365</v>
      </c>
      <c r="I116" s="75">
        <v>473</v>
      </c>
      <c r="J116" s="175">
        <f t="shared" si="20"/>
        <v>2838</v>
      </c>
      <c r="K116" s="175">
        <f t="shared" si="21"/>
        <v>0</v>
      </c>
      <c r="L116" s="75">
        <f t="shared" si="22"/>
        <v>0</v>
      </c>
      <c r="N116" s="194">
        <v>2145</v>
      </c>
      <c r="O116" s="217">
        <v>2563</v>
      </c>
      <c r="P116" s="198">
        <v>375</v>
      </c>
      <c r="R116" s="182">
        <v>2001</v>
      </c>
      <c r="S116" s="182">
        <f t="shared" si="25"/>
        <v>0.78072571205618413</v>
      </c>
    </row>
    <row r="117" spans="1:19" customFormat="1" ht="111" outlineLevel="1" thickBot="1" x14ac:dyDescent="0.25">
      <c r="A117" s="25" t="s">
        <v>180</v>
      </c>
      <c r="B117" s="181" t="s">
        <v>3609</v>
      </c>
      <c r="C117" s="94" t="s">
        <v>549</v>
      </c>
      <c r="D117" s="123">
        <f t="shared" si="27"/>
        <v>2830.8333333333335</v>
      </c>
      <c r="E117" s="123">
        <f t="shared" si="24"/>
        <v>566.16666666666674</v>
      </c>
      <c r="F117" s="123">
        <v>3397</v>
      </c>
      <c r="G117" s="75">
        <v>3397</v>
      </c>
      <c r="H117" s="75">
        <v>2830.83</v>
      </c>
      <c r="I117" s="75">
        <v>566.16999999999996</v>
      </c>
      <c r="J117" s="175">
        <f t="shared" si="20"/>
        <v>3397</v>
      </c>
      <c r="K117" s="175">
        <f t="shared" si="21"/>
        <v>0</v>
      </c>
      <c r="L117" s="75">
        <f t="shared" si="22"/>
        <v>0</v>
      </c>
      <c r="N117" s="194">
        <v>2785</v>
      </c>
      <c r="O117" s="217">
        <v>3122</v>
      </c>
      <c r="P117" s="198">
        <v>375</v>
      </c>
      <c r="R117" s="182">
        <v>2543</v>
      </c>
      <c r="S117" s="182">
        <f t="shared" si="25"/>
        <v>0.81454196028187065</v>
      </c>
    </row>
    <row r="118" spans="1:19" customFormat="1" ht="32.25" outlineLevel="1" thickBot="1" x14ac:dyDescent="0.25">
      <c r="A118" s="25" t="s">
        <v>181</v>
      </c>
      <c r="B118" s="181" t="s">
        <v>1778</v>
      </c>
      <c r="C118" s="94" t="s">
        <v>549</v>
      </c>
      <c r="D118" s="123">
        <f t="shared" si="27"/>
        <v>2762.5</v>
      </c>
      <c r="E118" s="123">
        <f t="shared" si="24"/>
        <v>552.5</v>
      </c>
      <c r="F118" s="123">
        <v>3315</v>
      </c>
      <c r="G118" s="75">
        <v>3315</v>
      </c>
      <c r="H118" s="75">
        <v>2762.5</v>
      </c>
      <c r="I118" s="75">
        <v>552.5</v>
      </c>
      <c r="J118" s="175">
        <f t="shared" si="20"/>
        <v>3315</v>
      </c>
      <c r="K118" s="175">
        <f t="shared" si="21"/>
        <v>0</v>
      </c>
      <c r="L118" s="75">
        <f t="shared" si="22"/>
        <v>0</v>
      </c>
      <c r="N118" s="194">
        <v>2710</v>
      </c>
      <c r="O118" s="217">
        <v>3040</v>
      </c>
      <c r="P118" s="198">
        <v>375</v>
      </c>
      <c r="R118" s="182">
        <v>2475</v>
      </c>
      <c r="S118" s="182">
        <f t="shared" si="25"/>
        <v>0.81414473684210531</v>
      </c>
    </row>
    <row r="119" spans="1:19" customFormat="1" ht="32.25" outlineLevel="1" thickBot="1" x14ac:dyDescent="0.25">
      <c r="A119" s="25" t="s">
        <v>182</v>
      </c>
      <c r="B119" s="181" t="s">
        <v>2688</v>
      </c>
      <c r="C119" s="94" t="s">
        <v>549</v>
      </c>
      <c r="D119" s="123">
        <f t="shared" si="27"/>
        <v>2528.3333333333335</v>
      </c>
      <c r="E119" s="123">
        <f t="shared" si="24"/>
        <v>505.66666666666674</v>
      </c>
      <c r="F119" s="123">
        <v>3034</v>
      </c>
      <c r="G119" s="75">
        <v>3034</v>
      </c>
      <c r="H119" s="75">
        <v>2528.33</v>
      </c>
      <c r="I119" s="75">
        <v>505.67</v>
      </c>
      <c r="J119" s="175">
        <f t="shared" si="20"/>
        <v>3034</v>
      </c>
      <c r="K119" s="175">
        <f t="shared" si="21"/>
        <v>0</v>
      </c>
      <c r="L119" s="75">
        <f t="shared" si="22"/>
        <v>0</v>
      </c>
      <c r="N119" s="194">
        <v>2340</v>
      </c>
      <c r="O119" s="217">
        <v>2759</v>
      </c>
      <c r="P119" s="198">
        <v>375</v>
      </c>
      <c r="R119" s="182">
        <v>2149</v>
      </c>
      <c r="S119" s="182">
        <f t="shared" si="25"/>
        <v>0.77890540050743018</v>
      </c>
    </row>
    <row r="120" spans="1:19" customFormat="1" ht="32.25" outlineLevel="1" thickBot="1" x14ac:dyDescent="0.25">
      <c r="A120" s="25" t="s">
        <v>183</v>
      </c>
      <c r="B120" s="181" t="s">
        <v>1799</v>
      </c>
      <c r="C120" s="94" t="s">
        <v>549</v>
      </c>
      <c r="D120" s="123">
        <f t="shared" si="27"/>
        <v>2390.8333333333335</v>
      </c>
      <c r="E120" s="123">
        <f t="shared" si="24"/>
        <v>478.16666666666674</v>
      </c>
      <c r="F120" s="123">
        <v>2869</v>
      </c>
      <c r="G120" s="75">
        <v>2869</v>
      </c>
      <c r="H120" s="75">
        <v>2390.83</v>
      </c>
      <c r="I120" s="75">
        <v>478.17</v>
      </c>
      <c r="J120" s="175">
        <f t="shared" si="20"/>
        <v>2869</v>
      </c>
      <c r="K120" s="175">
        <f t="shared" si="21"/>
        <v>0</v>
      </c>
      <c r="L120" s="75">
        <f t="shared" si="22"/>
        <v>0</v>
      </c>
      <c r="N120" s="194">
        <v>2260</v>
      </c>
      <c r="O120" s="217">
        <v>2594</v>
      </c>
      <c r="P120" s="198">
        <v>375</v>
      </c>
      <c r="R120" s="182">
        <v>2062</v>
      </c>
      <c r="S120" s="182">
        <f t="shared" si="25"/>
        <v>0.79491133384734003</v>
      </c>
    </row>
    <row r="121" spans="1:19" customFormat="1" ht="79.5" outlineLevel="1" thickBot="1" x14ac:dyDescent="0.25">
      <c r="A121" s="25" t="s">
        <v>184</v>
      </c>
      <c r="B121" s="181" t="s">
        <v>3610</v>
      </c>
      <c r="C121" s="94" t="s">
        <v>549</v>
      </c>
      <c r="D121" s="123">
        <f t="shared" si="27"/>
        <v>2579.166666666667</v>
      </c>
      <c r="E121" s="123">
        <f t="shared" si="24"/>
        <v>515.83333333333337</v>
      </c>
      <c r="F121" s="123">
        <v>3095</v>
      </c>
      <c r="G121" s="75">
        <v>3095</v>
      </c>
      <c r="H121" s="75">
        <v>2579.17</v>
      </c>
      <c r="I121" s="75">
        <v>515.83000000000004</v>
      </c>
      <c r="J121" s="175">
        <f t="shared" si="20"/>
        <v>3095</v>
      </c>
      <c r="K121" s="175">
        <f t="shared" si="21"/>
        <v>0</v>
      </c>
      <c r="L121" s="75">
        <f t="shared" si="22"/>
        <v>0</v>
      </c>
      <c r="N121" s="194">
        <v>2485</v>
      </c>
      <c r="O121" s="217">
        <v>2820</v>
      </c>
      <c r="P121" s="198">
        <v>375</v>
      </c>
      <c r="R121" s="182">
        <v>2271</v>
      </c>
      <c r="S121" s="182">
        <f t="shared" si="25"/>
        <v>0.80531914893617018</v>
      </c>
    </row>
    <row r="122" spans="1:19" customFormat="1" ht="32.25" outlineLevel="1" thickBot="1" x14ac:dyDescent="0.25">
      <c r="A122" s="25" t="s">
        <v>185</v>
      </c>
      <c r="B122" s="181" t="s">
        <v>1779</v>
      </c>
      <c r="C122" s="94" t="s">
        <v>549</v>
      </c>
      <c r="D122" s="123">
        <f t="shared" si="27"/>
        <v>2505.8333333333335</v>
      </c>
      <c r="E122" s="123">
        <f t="shared" si="24"/>
        <v>501.16666666666674</v>
      </c>
      <c r="F122" s="123">
        <v>3007</v>
      </c>
      <c r="G122" s="75">
        <v>3007</v>
      </c>
      <c r="H122" s="75">
        <v>2505.83</v>
      </c>
      <c r="I122" s="75">
        <v>501.17</v>
      </c>
      <c r="J122" s="175">
        <f t="shared" si="20"/>
        <v>3007</v>
      </c>
      <c r="K122" s="175">
        <f t="shared" si="21"/>
        <v>0</v>
      </c>
      <c r="L122" s="75">
        <f t="shared" si="22"/>
        <v>0</v>
      </c>
      <c r="N122" s="194">
        <v>2410</v>
      </c>
      <c r="O122" s="217">
        <v>2732</v>
      </c>
      <c r="P122" s="198">
        <v>375</v>
      </c>
      <c r="R122" s="182">
        <v>2198</v>
      </c>
      <c r="S122" s="182">
        <f t="shared" si="25"/>
        <v>0.80453879941434847</v>
      </c>
    </row>
    <row r="123" spans="1:19" customFormat="1" ht="32.25" outlineLevel="1" thickBot="1" x14ac:dyDescent="0.25">
      <c r="A123" s="25" t="s">
        <v>186</v>
      </c>
      <c r="B123" s="181" t="s">
        <v>1787</v>
      </c>
      <c r="C123" s="94" t="s">
        <v>549</v>
      </c>
      <c r="D123" s="123">
        <f t="shared" si="27"/>
        <v>2528.3333333333335</v>
      </c>
      <c r="E123" s="123">
        <f t="shared" si="24"/>
        <v>505.66666666666674</v>
      </c>
      <c r="F123" s="123">
        <v>3034</v>
      </c>
      <c r="G123" s="75">
        <v>3034</v>
      </c>
      <c r="H123" s="75">
        <v>2528.33</v>
      </c>
      <c r="I123" s="75">
        <v>505.67</v>
      </c>
      <c r="J123" s="175">
        <f t="shared" si="20"/>
        <v>3034</v>
      </c>
      <c r="K123" s="175">
        <f t="shared" si="21"/>
        <v>0</v>
      </c>
      <c r="L123" s="75">
        <f t="shared" si="22"/>
        <v>0</v>
      </c>
      <c r="N123" s="194">
        <v>2340</v>
      </c>
      <c r="O123" s="217">
        <v>2759</v>
      </c>
      <c r="P123" s="198">
        <v>375</v>
      </c>
      <c r="R123" s="182">
        <v>2149</v>
      </c>
      <c r="S123" s="182">
        <f t="shared" si="25"/>
        <v>0.77890540050743018</v>
      </c>
    </row>
    <row r="124" spans="1:19" customFormat="1" ht="32.25" outlineLevel="1" thickBot="1" x14ac:dyDescent="0.25">
      <c r="A124" s="25" t="s">
        <v>187</v>
      </c>
      <c r="B124" s="181" t="s">
        <v>3611</v>
      </c>
      <c r="C124" s="94" t="s">
        <v>549</v>
      </c>
      <c r="D124" s="123">
        <f t="shared" si="27"/>
        <v>2528.3333333333335</v>
      </c>
      <c r="E124" s="123">
        <f t="shared" si="24"/>
        <v>505.66666666666674</v>
      </c>
      <c r="F124" s="123">
        <v>3034</v>
      </c>
      <c r="G124" s="75">
        <v>3034</v>
      </c>
      <c r="H124" s="75">
        <v>2528.33</v>
      </c>
      <c r="I124" s="75">
        <v>505.67</v>
      </c>
      <c r="J124" s="175">
        <f t="shared" si="20"/>
        <v>3034</v>
      </c>
      <c r="K124" s="175">
        <f t="shared" si="21"/>
        <v>0</v>
      </c>
      <c r="L124" s="75">
        <f t="shared" si="22"/>
        <v>0</v>
      </c>
      <c r="N124" s="194">
        <v>2410</v>
      </c>
      <c r="O124" s="217">
        <v>2759</v>
      </c>
      <c r="P124" s="198">
        <v>375</v>
      </c>
      <c r="R124" s="182">
        <v>2198</v>
      </c>
      <c r="S124" s="182">
        <f t="shared" si="25"/>
        <v>0.79666545849945636</v>
      </c>
    </row>
    <row r="125" spans="1:19" customFormat="1" ht="48" outlineLevel="1" thickBot="1" x14ac:dyDescent="0.25">
      <c r="A125" s="25" t="s">
        <v>238</v>
      </c>
      <c r="B125" s="181" t="s">
        <v>3612</v>
      </c>
      <c r="C125" s="94" t="s">
        <v>549</v>
      </c>
      <c r="D125" s="123">
        <f t="shared" si="27"/>
        <v>2579.166666666667</v>
      </c>
      <c r="E125" s="123">
        <f t="shared" si="24"/>
        <v>515.83333333333337</v>
      </c>
      <c r="F125" s="123">
        <v>3095</v>
      </c>
      <c r="G125" s="75">
        <v>3095</v>
      </c>
      <c r="H125" s="75">
        <v>2579.17</v>
      </c>
      <c r="I125" s="75">
        <v>515.83000000000004</v>
      </c>
      <c r="J125" s="175">
        <f t="shared" si="20"/>
        <v>3095</v>
      </c>
      <c r="K125" s="175">
        <f t="shared" si="21"/>
        <v>0</v>
      </c>
      <c r="L125" s="75">
        <f t="shared" si="22"/>
        <v>0</v>
      </c>
      <c r="N125" s="194">
        <v>2485</v>
      </c>
      <c r="O125" s="217">
        <v>2820</v>
      </c>
      <c r="P125" s="198">
        <v>375</v>
      </c>
      <c r="R125" s="182">
        <v>2271</v>
      </c>
      <c r="S125" s="182">
        <f t="shared" si="25"/>
        <v>0.80531914893617018</v>
      </c>
    </row>
    <row r="126" spans="1:19" customFormat="1" ht="16.5" outlineLevel="1" thickBot="1" x14ac:dyDescent="0.25">
      <c r="A126" s="25" t="s">
        <v>270</v>
      </c>
      <c r="B126" s="181" t="s">
        <v>1798</v>
      </c>
      <c r="C126" s="94" t="s">
        <v>549</v>
      </c>
      <c r="D126" s="123">
        <f t="shared" si="27"/>
        <v>2528.3333333333335</v>
      </c>
      <c r="E126" s="123">
        <f t="shared" si="24"/>
        <v>505.66666666666674</v>
      </c>
      <c r="F126" s="123">
        <v>3034</v>
      </c>
      <c r="G126" s="75">
        <v>3034</v>
      </c>
      <c r="H126" s="75">
        <v>2528.33</v>
      </c>
      <c r="I126" s="75">
        <v>505.67</v>
      </c>
      <c r="J126" s="175">
        <f t="shared" si="20"/>
        <v>3034</v>
      </c>
      <c r="K126" s="175">
        <f t="shared" si="21"/>
        <v>0</v>
      </c>
      <c r="L126" s="75">
        <f t="shared" si="22"/>
        <v>0</v>
      </c>
      <c r="N126" s="194">
        <v>2340</v>
      </c>
      <c r="O126" s="217">
        <v>2759</v>
      </c>
      <c r="P126" s="198">
        <v>375</v>
      </c>
      <c r="R126" s="182">
        <v>2149</v>
      </c>
      <c r="S126" s="182">
        <f t="shared" si="25"/>
        <v>0.77890540050743018</v>
      </c>
    </row>
    <row r="127" spans="1:19" customFormat="1" ht="79.5" outlineLevel="1" thickBot="1" x14ac:dyDescent="0.25">
      <c r="A127" s="25" t="s">
        <v>271</v>
      </c>
      <c r="B127" s="181" t="s">
        <v>3613</v>
      </c>
      <c r="C127" s="94" t="s">
        <v>549</v>
      </c>
      <c r="D127" s="123">
        <f t="shared" si="27"/>
        <v>2742.5</v>
      </c>
      <c r="E127" s="123">
        <f t="shared" si="24"/>
        <v>548.5</v>
      </c>
      <c r="F127" s="123">
        <v>3291</v>
      </c>
      <c r="G127" s="75">
        <v>3291</v>
      </c>
      <c r="H127" s="75">
        <v>2742.5</v>
      </c>
      <c r="I127" s="75">
        <v>548.5</v>
      </c>
      <c r="J127" s="175">
        <f t="shared" si="20"/>
        <v>3291</v>
      </c>
      <c r="K127" s="175">
        <f t="shared" si="21"/>
        <v>0</v>
      </c>
      <c r="L127" s="75">
        <f t="shared" si="22"/>
        <v>0</v>
      </c>
      <c r="N127" s="194">
        <v>2680</v>
      </c>
      <c r="O127" s="217">
        <v>3016</v>
      </c>
      <c r="P127" s="198">
        <v>375</v>
      </c>
      <c r="R127" s="182">
        <v>2446</v>
      </c>
      <c r="S127" s="182">
        <f t="shared" si="25"/>
        <v>0.81100795755968169</v>
      </c>
    </row>
    <row r="128" spans="1:19" customFormat="1" ht="32.25" outlineLevel="1" thickBot="1" x14ac:dyDescent="0.25">
      <c r="A128" s="25" t="s">
        <v>272</v>
      </c>
      <c r="B128" s="181" t="s">
        <v>1797</v>
      </c>
      <c r="C128" s="94" t="s">
        <v>549</v>
      </c>
      <c r="D128" s="123">
        <f t="shared" si="27"/>
        <v>2528.3333333333335</v>
      </c>
      <c r="E128" s="123">
        <f t="shared" si="24"/>
        <v>505.66666666666674</v>
      </c>
      <c r="F128" s="123">
        <v>3034</v>
      </c>
      <c r="G128" s="75">
        <v>3034</v>
      </c>
      <c r="H128" s="75">
        <v>2528.33</v>
      </c>
      <c r="I128" s="75">
        <v>505.67</v>
      </c>
      <c r="J128" s="175">
        <f t="shared" si="20"/>
        <v>3034</v>
      </c>
      <c r="K128" s="175">
        <f t="shared" si="21"/>
        <v>0</v>
      </c>
      <c r="L128" s="75">
        <f t="shared" si="22"/>
        <v>0</v>
      </c>
      <c r="N128" s="194">
        <v>2340</v>
      </c>
      <c r="O128" s="217">
        <v>2759</v>
      </c>
      <c r="P128" s="198">
        <v>375</v>
      </c>
      <c r="R128" s="182">
        <v>2149</v>
      </c>
      <c r="S128" s="182">
        <f t="shared" si="25"/>
        <v>0.77890540050743018</v>
      </c>
    </row>
    <row r="129" spans="1:19" customFormat="1" ht="205.5" outlineLevel="1" thickBot="1" x14ac:dyDescent="0.25">
      <c r="A129" s="25" t="s">
        <v>463</v>
      </c>
      <c r="B129" s="181" t="s">
        <v>3614</v>
      </c>
      <c r="C129" s="94" t="s">
        <v>549</v>
      </c>
      <c r="D129" s="123">
        <f t="shared" si="27"/>
        <v>2579.166666666667</v>
      </c>
      <c r="E129" s="123">
        <f t="shared" si="24"/>
        <v>515.83333333333337</v>
      </c>
      <c r="F129" s="123">
        <v>3095</v>
      </c>
      <c r="G129" s="75">
        <v>3095</v>
      </c>
      <c r="H129" s="75">
        <v>2579.17</v>
      </c>
      <c r="I129" s="75">
        <v>515.83000000000004</v>
      </c>
      <c r="J129" s="175">
        <f t="shared" si="20"/>
        <v>3095</v>
      </c>
      <c r="K129" s="175">
        <f t="shared" si="21"/>
        <v>0</v>
      </c>
      <c r="L129" s="75">
        <f t="shared" si="22"/>
        <v>0</v>
      </c>
      <c r="N129" s="194">
        <v>2485</v>
      </c>
      <c r="O129" s="217">
        <v>2820</v>
      </c>
      <c r="P129" s="198">
        <v>375</v>
      </c>
      <c r="R129" s="182">
        <v>2271</v>
      </c>
      <c r="S129" s="182">
        <f t="shared" si="25"/>
        <v>0.80531914893617018</v>
      </c>
    </row>
    <row r="130" spans="1:19" customFormat="1" ht="32.25" outlineLevel="1" thickBot="1" x14ac:dyDescent="0.25">
      <c r="A130" s="25" t="s">
        <v>465</v>
      </c>
      <c r="B130" s="181" t="s">
        <v>1796</v>
      </c>
      <c r="C130" s="94" t="s">
        <v>549</v>
      </c>
      <c r="D130" s="123">
        <f t="shared" si="27"/>
        <v>2528.3333333333335</v>
      </c>
      <c r="E130" s="123">
        <f t="shared" si="24"/>
        <v>505.66666666666674</v>
      </c>
      <c r="F130" s="123">
        <v>3034</v>
      </c>
      <c r="G130" s="75">
        <v>3034</v>
      </c>
      <c r="H130" s="75">
        <v>2528.33</v>
      </c>
      <c r="I130" s="75">
        <v>505.67</v>
      </c>
      <c r="J130" s="175">
        <f t="shared" si="20"/>
        <v>3034</v>
      </c>
      <c r="K130" s="175">
        <f t="shared" si="21"/>
        <v>0</v>
      </c>
      <c r="L130" s="75">
        <f t="shared" si="22"/>
        <v>0</v>
      </c>
      <c r="N130" s="194">
        <v>2340</v>
      </c>
      <c r="O130" s="217">
        <v>2759</v>
      </c>
      <c r="P130" s="198">
        <v>375</v>
      </c>
      <c r="R130" s="182">
        <v>2149</v>
      </c>
      <c r="S130" s="182">
        <f t="shared" si="25"/>
        <v>0.77890540050743018</v>
      </c>
    </row>
    <row r="131" spans="1:19" customFormat="1" ht="16.5" outlineLevel="1" thickBot="1" x14ac:dyDescent="0.25">
      <c r="A131" s="25" t="s">
        <v>466</v>
      </c>
      <c r="B131" s="181" t="s">
        <v>1780</v>
      </c>
      <c r="C131" s="94" t="s">
        <v>549</v>
      </c>
      <c r="D131" s="123">
        <f t="shared" si="27"/>
        <v>2669.166666666667</v>
      </c>
      <c r="E131" s="123">
        <f t="shared" si="24"/>
        <v>533.83333333333337</v>
      </c>
      <c r="F131" s="123">
        <v>3203</v>
      </c>
      <c r="G131" s="75">
        <v>3203</v>
      </c>
      <c r="H131" s="75">
        <v>2669.17</v>
      </c>
      <c r="I131" s="75">
        <v>533.83000000000004</v>
      </c>
      <c r="J131" s="175">
        <f t="shared" si="20"/>
        <v>3203</v>
      </c>
      <c r="K131" s="175">
        <f t="shared" si="21"/>
        <v>0</v>
      </c>
      <c r="L131" s="75">
        <f t="shared" si="22"/>
        <v>0</v>
      </c>
      <c r="N131" s="194">
        <v>2560</v>
      </c>
      <c r="O131" s="217">
        <v>2928</v>
      </c>
      <c r="P131" s="198">
        <v>375</v>
      </c>
      <c r="R131" s="182">
        <v>2339</v>
      </c>
      <c r="S131" s="182">
        <f t="shared" si="25"/>
        <v>0.79883879781420764</v>
      </c>
    </row>
    <row r="132" spans="1:19" customFormat="1" ht="32.25" outlineLevel="1" thickBot="1" x14ac:dyDescent="0.25">
      <c r="A132" s="25" t="s">
        <v>1929</v>
      </c>
      <c r="B132" s="181" t="s">
        <v>1788</v>
      </c>
      <c r="C132" s="94" t="s">
        <v>549</v>
      </c>
      <c r="D132" s="123">
        <f t="shared" si="27"/>
        <v>2579.166666666667</v>
      </c>
      <c r="E132" s="123">
        <f t="shared" si="24"/>
        <v>515.83333333333337</v>
      </c>
      <c r="F132" s="123">
        <v>3095</v>
      </c>
      <c r="G132" s="75">
        <v>3095</v>
      </c>
      <c r="H132" s="75">
        <v>2579.17</v>
      </c>
      <c r="I132" s="75">
        <v>515.83000000000004</v>
      </c>
      <c r="J132" s="175">
        <f t="shared" si="20"/>
        <v>3095</v>
      </c>
      <c r="K132" s="175">
        <f t="shared" si="21"/>
        <v>0</v>
      </c>
      <c r="L132" s="75">
        <f t="shared" si="22"/>
        <v>0</v>
      </c>
      <c r="N132" s="194">
        <v>2485</v>
      </c>
      <c r="O132" s="217">
        <v>2820</v>
      </c>
      <c r="P132" s="198">
        <v>375</v>
      </c>
      <c r="R132" s="182">
        <v>2271</v>
      </c>
      <c r="S132" s="182">
        <f t="shared" si="25"/>
        <v>0.80531914893617018</v>
      </c>
    </row>
    <row r="133" spans="1:19" customFormat="1" ht="32.25" outlineLevel="1" thickBot="1" x14ac:dyDescent="0.25">
      <c r="A133" s="25" t="s">
        <v>468</v>
      </c>
      <c r="B133" s="181" t="s">
        <v>1789</v>
      </c>
      <c r="C133" s="94" t="s">
        <v>549</v>
      </c>
      <c r="D133" s="123">
        <f t="shared" si="27"/>
        <v>2579.166666666667</v>
      </c>
      <c r="E133" s="123">
        <f t="shared" si="24"/>
        <v>515.83333333333337</v>
      </c>
      <c r="F133" s="123">
        <v>3095</v>
      </c>
      <c r="G133" s="75">
        <v>3095</v>
      </c>
      <c r="H133" s="75">
        <v>2579.17</v>
      </c>
      <c r="I133" s="75">
        <v>515.83000000000004</v>
      </c>
      <c r="J133" s="175">
        <f t="shared" si="20"/>
        <v>3095</v>
      </c>
      <c r="K133" s="175">
        <f t="shared" si="21"/>
        <v>0</v>
      </c>
      <c r="L133" s="75">
        <f t="shared" si="22"/>
        <v>0</v>
      </c>
      <c r="N133" s="194">
        <v>2485</v>
      </c>
      <c r="O133" s="217">
        <v>2820</v>
      </c>
      <c r="P133" s="198">
        <v>375</v>
      </c>
      <c r="R133" s="182">
        <v>2271</v>
      </c>
      <c r="S133" s="182">
        <f t="shared" si="25"/>
        <v>0.80531914893617018</v>
      </c>
    </row>
    <row r="134" spans="1:19" customFormat="1" ht="63.75" outlineLevel="1" thickBot="1" x14ac:dyDescent="0.25">
      <c r="A134" s="25" t="s">
        <v>469</v>
      </c>
      <c r="B134" s="181" t="s">
        <v>3615</v>
      </c>
      <c r="C134" s="94" t="s">
        <v>549</v>
      </c>
      <c r="D134" s="123">
        <f t="shared" si="27"/>
        <v>2579.166666666667</v>
      </c>
      <c r="E134" s="123">
        <f t="shared" si="24"/>
        <v>515.83333333333337</v>
      </c>
      <c r="F134" s="123">
        <v>3095</v>
      </c>
      <c r="G134" s="75">
        <v>3095</v>
      </c>
      <c r="H134" s="75">
        <v>2579.17</v>
      </c>
      <c r="I134" s="75">
        <v>515.83000000000004</v>
      </c>
      <c r="J134" s="175">
        <f t="shared" si="20"/>
        <v>3095</v>
      </c>
      <c r="K134" s="175">
        <f t="shared" si="21"/>
        <v>0</v>
      </c>
      <c r="L134" s="75">
        <f t="shared" si="22"/>
        <v>0</v>
      </c>
      <c r="N134" s="194">
        <v>2485</v>
      </c>
      <c r="O134" s="217">
        <v>2820</v>
      </c>
      <c r="P134" s="198">
        <v>375</v>
      </c>
      <c r="R134" s="182">
        <v>2271</v>
      </c>
      <c r="S134" s="182">
        <f t="shared" si="25"/>
        <v>0.80531914893617018</v>
      </c>
    </row>
    <row r="135" spans="1:19" customFormat="1" ht="314.25" customHeight="1" outlineLevel="1" thickBot="1" x14ac:dyDescent="0.25">
      <c r="A135" s="25" t="s">
        <v>1930</v>
      </c>
      <c r="B135" s="181" t="s">
        <v>3616</v>
      </c>
      <c r="C135" s="94" t="s">
        <v>549</v>
      </c>
      <c r="D135" s="123">
        <f t="shared" si="27"/>
        <v>2715.8333333333335</v>
      </c>
      <c r="E135" s="123">
        <f t="shared" si="24"/>
        <v>543.16666666666674</v>
      </c>
      <c r="F135" s="123">
        <v>3259</v>
      </c>
      <c r="G135" s="75">
        <v>3259</v>
      </c>
      <c r="H135" s="75">
        <v>2715.83</v>
      </c>
      <c r="I135" s="75">
        <v>543.16999999999996</v>
      </c>
      <c r="J135" s="175">
        <f t="shared" si="20"/>
        <v>3259</v>
      </c>
      <c r="K135" s="175">
        <f t="shared" si="21"/>
        <v>0</v>
      </c>
      <c r="L135" s="75">
        <f t="shared" si="22"/>
        <v>0</v>
      </c>
      <c r="N135" s="194">
        <v>2635</v>
      </c>
      <c r="O135" s="217">
        <v>2984</v>
      </c>
      <c r="P135" s="198">
        <v>375</v>
      </c>
      <c r="R135" s="182">
        <v>2407</v>
      </c>
      <c r="S135" s="182">
        <f t="shared" si="25"/>
        <v>0.80663538873994634</v>
      </c>
    </row>
    <row r="136" spans="1:19" customFormat="1" ht="63.75" outlineLevel="1" thickBot="1" x14ac:dyDescent="0.25">
      <c r="A136" s="25" t="s">
        <v>1931</v>
      </c>
      <c r="B136" s="181" t="s">
        <v>3617</v>
      </c>
      <c r="C136" s="94" t="s">
        <v>549</v>
      </c>
      <c r="D136" s="123">
        <f t="shared" si="27"/>
        <v>2505.8333333333335</v>
      </c>
      <c r="E136" s="123">
        <f t="shared" si="24"/>
        <v>501.16666666666674</v>
      </c>
      <c r="F136" s="123">
        <v>3007</v>
      </c>
      <c r="G136" s="75">
        <v>3007</v>
      </c>
      <c r="H136" s="75">
        <v>2505.83</v>
      </c>
      <c r="I136" s="75">
        <v>501.17</v>
      </c>
      <c r="J136" s="175">
        <f t="shared" ref="J136:J199" si="28">I136+H136</f>
        <v>3007</v>
      </c>
      <c r="K136" s="175">
        <f t="shared" ref="K136:K199" si="29">G136-J136</f>
        <v>0</v>
      </c>
      <c r="L136" s="75">
        <f t="shared" ref="L136:L199" si="30">F136-G136</f>
        <v>0</v>
      </c>
      <c r="N136" s="194">
        <v>2410</v>
      </c>
      <c r="O136" s="217">
        <v>2732</v>
      </c>
      <c r="P136" s="198">
        <v>375</v>
      </c>
      <c r="R136" s="182">
        <v>2198</v>
      </c>
      <c r="S136" s="182">
        <f t="shared" si="25"/>
        <v>0.80453879941434847</v>
      </c>
    </row>
    <row r="137" spans="1:19" customFormat="1" ht="32.25" outlineLevel="1" thickBot="1" x14ac:dyDescent="0.25">
      <c r="A137" s="25" t="s">
        <v>1932</v>
      </c>
      <c r="B137" s="181" t="s">
        <v>1793</v>
      </c>
      <c r="C137" s="94" t="s">
        <v>549</v>
      </c>
      <c r="D137" s="123">
        <f t="shared" si="27"/>
        <v>2485</v>
      </c>
      <c r="E137" s="123">
        <f t="shared" si="24"/>
        <v>497</v>
      </c>
      <c r="F137" s="123">
        <v>2982</v>
      </c>
      <c r="G137" s="75">
        <v>2982</v>
      </c>
      <c r="H137" s="75">
        <v>2485</v>
      </c>
      <c r="I137" s="75">
        <v>497</v>
      </c>
      <c r="J137" s="175">
        <f t="shared" si="28"/>
        <v>2982</v>
      </c>
      <c r="K137" s="175">
        <f t="shared" si="29"/>
        <v>0</v>
      </c>
      <c r="L137" s="75">
        <f t="shared" si="30"/>
        <v>0</v>
      </c>
      <c r="N137" s="194">
        <v>2410</v>
      </c>
      <c r="O137" s="217">
        <v>2707</v>
      </c>
      <c r="P137" s="198">
        <v>375</v>
      </c>
      <c r="R137" s="182">
        <v>2198</v>
      </c>
      <c r="S137" s="182">
        <f t="shared" si="25"/>
        <v>0.8119689693387514</v>
      </c>
    </row>
    <row r="138" spans="1:19" customFormat="1" ht="32.25" outlineLevel="1" thickBot="1" x14ac:dyDescent="0.25">
      <c r="A138" s="25" t="s">
        <v>1933</v>
      </c>
      <c r="B138" s="181" t="s">
        <v>1794</v>
      </c>
      <c r="C138" s="94" t="s">
        <v>549</v>
      </c>
      <c r="D138" s="123">
        <f t="shared" si="27"/>
        <v>2579.166666666667</v>
      </c>
      <c r="E138" s="123">
        <f t="shared" si="24"/>
        <v>515.83333333333337</v>
      </c>
      <c r="F138" s="123">
        <v>3095</v>
      </c>
      <c r="G138" s="75">
        <v>3095</v>
      </c>
      <c r="H138" s="75">
        <v>2579.17</v>
      </c>
      <c r="I138" s="75">
        <v>515.83000000000004</v>
      </c>
      <c r="J138" s="175">
        <f t="shared" si="28"/>
        <v>3095</v>
      </c>
      <c r="K138" s="175">
        <f t="shared" si="29"/>
        <v>0</v>
      </c>
      <c r="L138" s="75">
        <f t="shared" si="30"/>
        <v>0</v>
      </c>
      <c r="N138" s="194">
        <v>2485</v>
      </c>
      <c r="O138" s="217">
        <v>2820</v>
      </c>
      <c r="P138" s="198">
        <v>375</v>
      </c>
      <c r="R138" s="182">
        <v>2271</v>
      </c>
      <c r="S138" s="182">
        <f t="shared" si="25"/>
        <v>0.80531914893617018</v>
      </c>
    </row>
    <row r="139" spans="1:19" customFormat="1" ht="32.25" outlineLevel="1" thickBot="1" x14ac:dyDescent="0.25">
      <c r="A139" s="25" t="s">
        <v>1934</v>
      </c>
      <c r="B139" s="181" t="s">
        <v>1795</v>
      </c>
      <c r="C139" s="94" t="s">
        <v>549</v>
      </c>
      <c r="D139" s="123">
        <f t="shared" si="27"/>
        <v>2505.8333333333335</v>
      </c>
      <c r="E139" s="123">
        <f t="shared" si="24"/>
        <v>501.16666666666674</v>
      </c>
      <c r="F139" s="123">
        <v>3007</v>
      </c>
      <c r="G139" s="75">
        <v>3007</v>
      </c>
      <c r="H139" s="75">
        <v>2505.83</v>
      </c>
      <c r="I139" s="75">
        <v>501.17</v>
      </c>
      <c r="J139" s="175">
        <f t="shared" si="28"/>
        <v>3007</v>
      </c>
      <c r="K139" s="175">
        <f t="shared" si="29"/>
        <v>0</v>
      </c>
      <c r="L139" s="75">
        <f t="shared" si="30"/>
        <v>0</v>
      </c>
      <c r="N139" s="194">
        <v>2410</v>
      </c>
      <c r="O139" s="217">
        <v>2732</v>
      </c>
      <c r="P139" s="198">
        <v>375</v>
      </c>
      <c r="R139" s="182">
        <v>2198</v>
      </c>
      <c r="S139" s="182">
        <f t="shared" si="25"/>
        <v>0.80453879941434847</v>
      </c>
    </row>
    <row r="140" spans="1:19" customFormat="1" ht="32.25" outlineLevel="1" thickBot="1" x14ac:dyDescent="0.25">
      <c r="A140" s="25" t="s">
        <v>1935</v>
      </c>
      <c r="B140" s="181" t="s">
        <v>1781</v>
      </c>
      <c r="C140" s="94" t="s">
        <v>549</v>
      </c>
      <c r="D140" s="123">
        <f t="shared" si="27"/>
        <v>2579.166666666667</v>
      </c>
      <c r="E140" s="123">
        <f t="shared" si="24"/>
        <v>515.83333333333337</v>
      </c>
      <c r="F140" s="123">
        <v>3095</v>
      </c>
      <c r="G140" s="75">
        <v>3095</v>
      </c>
      <c r="H140" s="75">
        <v>2579.17</v>
      </c>
      <c r="I140" s="75">
        <v>515.83000000000004</v>
      </c>
      <c r="J140" s="175">
        <f t="shared" si="28"/>
        <v>3095</v>
      </c>
      <c r="K140" s="175">
        <f t="shared" si="29"/>
        <v>0</v>
      </c>
      <c r="L140" s="75">
        <f t="shared" si="30"/>
        <v>0</v>
      </c>
      <c r="N140" s="194">
        <v>2485</v>
      </c>
      <c r="O140" s="217">
        <v>2820</v>
      </c>
      <c r="P140" s="198">
        <v>375</v>
      </c>
      <c r="R140" s="182">
        <v>2271</v>
      </c>
      <c r="S140" s="182">
        <f t="shared" ref="S140:S203" si="31">R140/O140</f>
        <v>0.80531914893617018</v>
      </c>
    </row>
    <row r="141" spans="1:19" customFormat="1" ht="32.25" outlineLevel="1" thickBot="1" x14ac:dyDescent="0.25">
      <c r="A141" s="25" t="s">
        <v>1936</v>
      </c>
      <c r="B141" s="181" t="s">
        <v>1782</v>
      </c>
      <c r="C141" s="94" t="s">
        <v>549</v>
      </c>
      <c r="D141" s="123">
        <f t="shared" si="27"/>
        <v>2647.5</v>
      </c>
      <c r="E141" s="123">
        <f t="shared" si="24"/>
        <v>529.5</v>
      </c>
      <c r="F141" s="123">
        <v>3177</v>
      </c>
      <c r="G141" s="75">
        <v>3177</v>
      </c>
      <c r="H141" s="75">
        <v>2647.5</v>
      </c>
      <c r="I141" s="75">
        <v>529.5</v>
      </c>
      <c r="J141" s="175">
        <f t="shared" si="28"/>
        <v>3177</v>
      </c>
      <c r="K141" s="175">
        <f t="shared" si="29"/>
        <v>0</v>
      </c>
      <c r="L141" s="75">
        <f t="shared" si="30"/>
        <v>0</v>
      </c>
      <c r="N141" s="194">
        <v>2560</v>
      </c>
      <c r="O141" s="217">
        <v>2902</v>
      </c>
      <c r="P141" s="198">
        <v>375</v>
      </c>
      <c r="R141" s="182">
        <v>2339</v>
      </c>
      <c r="S141" s="182">
        <f t="shared" si="31"/>
        <v>0.80599586492074426</v>
      </c>
    </row>
    <row r="142" spans="1:19" customFormat="1" ht="16.5" outlineLevel="1" thickBot="1" x14ac:dyDescent="0.25">
      <c r="A142" s="25" t="s">
        <v>1937</v>
      </c>
      <c r="B142" s="181" t="s">
        <v>1783</v>
      </c>
      <c r="C142" s="94" t="s">
        <v>549</v>
      </c>
      <c r="D142" s="123">
        <f t="shared" si="27"/>
        <v>2784.166666666667</v>
      </c>
      <c r="E142" s="123">
        <f t="shared" si="24"/>
        <v>556.83333333333337</v>
      </c>
      <c r="F142" s="123">
        <v>3341</v>
      </c>
      <c r="G142" s="75">
        <v>3341</v>
      </c>
      <c r="H142" s="75">
        <v>2784.17</v>
      </c>
      <c r="I142" s="75">
        <v>556.83000000000004</v>
      </c>
      <c r="J142" s="175">
        <f t="shared" si="28"/>
        <v>3341</v>
      </c>
      <c r="K142" s="175">
        <f t="shared" si="29"/>
        <v>0</v>
      </c>
      <c r="L142" s="75">
        <f t="shared" si="30"/>
        <v>0</v>
      </c>
      <c r="N142" s="194">
        <v>2710</v>
      </c>
      <c r="O142" s="217">
        <v>3066</v>
      </c>
      <c r="P142" s="198">
        <v>375</v>
      </c>
      <c r="R142" s="182">
        <v>2475</v>
      </c>
      <c r="S142" s="182">
        <f t="shared" si="31"/>
        <v>0.80724070450097851</v>
      </c>
    </row>
    <row r="143" spans="1:19" customFormat="1" ht="32.25" outlineLevel="1" thickBot="1" x14ac:dyDescent="0.25">
      <c r="A143" s="25" t="s">
        <v>1938</v>
      </c>
      <c r="B143" s="181" t="s">
        <v>3618</v>
      </c>
      <c r="C143" s="94" t="s">
        <v>549</v>
      </c>
      <c r="D143" s="123">
        <f t="shared" si="27"/>
        <v>2694.166666666667</v>
      </c>
      <c r="E143" s="123">
        <f t="shared" ref="E143:E200" si="32">D143*0.2</f>
        <v>538.83333333333337</v>
      </c>
      <c r="F143" s="123">
        <v>3233</v>
      </c>
      <c r="G143" s="75">
        <v>3233</v>
      </c>
      <c r="H143" s="75">
        <v>2694.17</v>
      </c>
      <c r="I143" s="75">
        <v>538.83000000000004</v>
      </c>
      <c r="J143" s="175">
        <f t="shared" si="28"/>
        <v>3233</v>
      </c>
      <c r="K143" s="175">
        <f t="shared" si="29"/>
        <v>0</v>
      </c>
      <c r="L143" s="75">
        <f t="shared" si="30"/>
        <v>0</v>
      </c>
      <c r="N143" s="194">
        <v>2635</v>
      </c>
      <c r="O143" s="217">
        <v>2958</v>
      </c>
      <c r="P143" s="198">
        <v>375</v>
      </c>
      <c r="R143" s="182">
        <v>2407</v>
      </c>
      <c r="S143" s="182">
        <f t="shared" si="31"/>
        <v>0.81372549019607843</v>
      </c>
    </row>
    <row r="144" spans="1:19" customFormat="1" ht="48" outlineLevel="1" thickBot="1" x14ac:dyDescent="0.25">
      <c r="A144" s="25" t="s">
        <v>1939</v>
      </c>
      <c r="B144" s="181" t="s">
        <v>1790</v>
      </c>
      <c r="C144" s="94" t="s">
        <v>549</v>
      </c>
      <c r="D144" s="123">
        <f t="shared" si="27"/>
        <v>2694.166666666667</v>
      </c>
      <c r="E144" s="123">
        <f t="shared" si="32"/>
        <v>538.83333333333337</v>
      </c>
      <c r="F144" s="123">
        <v>3233</v>
      </c>
      <c r="G144" s="75">
        <v>3233</v>
      </c>
      <c r="H144" s="75">
        <v>2694.17</v>
      </c>
      <c r="I144" s="75">
        <v>538.83000000000004</v>
      </c>
      <c r="J144" s="175">
        <f t="shared" si="28"/>
        <v>3233</v>
      </c>
      <c r="K144" s="175">
        <f t="shared" si="29"/>
        <v>0</v>
      </c>
      <c r="L144" s="75">
        <f t="shared" si="30"/>
        <v>0</v>
      </c>
      <c r="N144" s="194">
        <v>2635</v>
      </c>
      <c r="O144" s="217">
        <v>2958</v>
      </c>
      <c r="P144" s="198">
        <v>375</v>
      </c>
      <c r="R144" s="182">
        <v>2407</v>
      </c>
      <c r="S144" s="182">
        <f t="shared" si="31"/>
        <v>0.81372549019607843</v>
      </c>
    </row>
    <row r="145" spans="1:19" customFormat="1" ht="16.5" outlineLevel="1" thickBot="1" x14ac:dyDescent="0.25">
      <c r="A145" s="25" t="s">
        <v>1940</v>
      </c>
      <c r="B145" s="181" t="s">
        <v>1784</v>
      </c>
      <c r="C145" s="94" t="s">
        <v>549</v>
      </c>
      <c r="D145" s="123">
        <f t="shared" si="27"/>
        <v>2762.5</v>
      </c>
      <c r="E145" s="123">
        <f t="shared" si="32"/>
        <v>552.5</v>
      </c>
      <c r="F145" s="123">
        <v>3315</v>
      </c>
      <c r="G145" s="75">
        <v>3315</v>
      </c>
      <c r="H145" s="75">
        <v>2762.5</v>
      </c>
      <c r="I145" s="75">
        <v>552.5</v>
      </c>
      <c r="J145" s="175">
        <f t="shared" si="28"/>
        <v>3315</v>
      </c>
      <c r="K145" s="175">
        <f t="shared" si="29"/>
        <v>0</v>
      </c>
      <c r="L145" s="75">
        <f t="shared" si="30"/>
        <v>0</v>
      </c>
      <c r="N145" s="194">
        <v>2710</v>
      </c>
      <c r="O145" s="217">
        <v>3040</v>
      </c>
      <c r="P145" s="198">
        <v>375</v>
      </c>
      <c r="R145" s="182">
        <v>2475</v>
      </c>
      <c r="S145" s="182">
        <f t="shared" si="31"/>
        <v>0.81414473684210531</v>
      </c>
    </row>
    <row r="146" spans="1:19" customFormat="1" ht="48" outlineLevel="1" thickBot="1" x14ac:dyDescent="0.25">
      <c r="A146" s="25" t="s">
        <v>1941</v>
      </c>
      <c r="B146" s="181" t="s">
        <v>1792</v>
      </c>
      <c r="C146" s="94" t="s">
        <v>549</v>
      </c>
      <c r="D146" s="123">
        <f t="shared" si="27"/>
        <v>2528.3333333333335</v>
      </c>
      <c r="E146" s="123">
        <f t="shared" si="32"/>
        <v>505.66666666666674</v>
      </c>
      <c r="F146" s="123">
        <v>3034</v>
      </c>
      <c r="G146" s="75">
        <v>3034</v>
      </c>
      <c r="H146" s="75">
        <v>2528.33</v>
      </c>
      <c r="I146" s="75">
        <v>505.67</v>
      </c>
      <c r="J146" s="175">
        <f t="shared" si="28"/>
        <v>3034</v>
      </c>
      <c r="K146" s="175">
        <f t="shared" si="29"/>
        <v>0</v>
      </c>
      <c r="L146" s="75">
        <f t="shared" si="30"/>
        <v>0</v>
      </c>
      <c r="N146" s="194">
        <v>2340</v>
      </c>
      <c r="O146" s="217">
        <v>2759</v>
      </c>
      <c r="P146" s="198">
        <v>375</v>
      </c>
      <c r="R146" s="182">
        <v>2149</v>
      </c>
      <c r="S146" s="182">
        <f t="shared" si="31"/>
        <v>0.77890540050743018</v>
      </c>
    </row>
    <row r="147" spans="1:19" customFormat="1" ht="48" outlineLevel="1" thickBot="1" x14ac:dyDescent="0.25">
      <c r="A147" s="25" t="s">
        <v>1942</v>
      </c>
      <c r="B147" s="181" t="s">
        <v>3619</v>
      </c>
      <c r="C147" s="94" t="s">
        <v>549</v>
      </c>
      <c r="D147" s="123">
        <f t="shared" si="27"/>
        <v>2579.166666666667</v>
      </c>
      <c r="E147" s="123">
        <f t="shared" si="32"/>
        <v>515.83333333333337</v>
      </c>
      <c r="F147" s="123">
        <v>3095</v>
      </c>
      <c r="G147" s="75">
        <v>3095</v>
      </c>
      <c r="H147" s="75">
        <v>2579.17</v>
      </c>
      <c r="I147" s="75">
        <v>515.83000000000004</v>
      </c>
      <c r="J147" s="175">
        <f t="shared" si="28"/>
        <v>3095</v>
      </c>
      <c r="K147" s="175">
        <f t="shared" si="29"/>
        <v>0</v>
      </c>
      <c r="L147" s="75">
        <f t="shared" si="30"/>
        <v>0</v>
      </c>
      <c r="N147" s="194">
        <v>2485</v>
      </c>
      <c r="O147" s="217">
        <v>2820</v>
      </c>
      <c r="P147" s="198">
        <v>375</v>
      </c>
      <c r="R147" s="182">
        <v>2271</v>
      </c>
      <c r="S147" s="182">
        <f t="shared" si="31"/>
        <v>0.80531914893617018</v>
      </c>
    </row>
    <row r="148" spans="1:19" customFormat="1" ht="32.25" outlineLevel="1" thickBot="1" x14ac:dyDescent="0.25">
      <c r="A148" s="25" t="s">
        <v>1943</v>
      </c>
      <c r="B148" s="181" t="s">
        <v>1785</v>
      </c>
      <c r="C148" s="94" t="s">
        <v>549</v>
      </c>
      <c r="D148" s="123">
        <f t="shared" si="27"/>
        <v>2370</v>
      </c>
      <c r="E148" s="123">
        <f t="shared" si="32"/>
        <v>474</v>
      </c>
      <c r="F148" s="123">
        <v>2844</v>
      </c>
      <c r="G148" s="75">
        <v>2844</v>
      </c>
      <c r="H148" s="75">
        <v>2370</v>
      </c>
      <c r="I148" s="75">
        <v>474</v>
      </c>
      <c r="J148" s="175">
        <f t="shared" si="28"/>
        <v>2844</v>
      </c>
      <c r="K148" s="175">
        <f t="shared" si="29"/>
        <v>0</v>
      </c>
      <c r="L148" s="75">
        <f t="shared" si="30"/>
        <v>0</v>
      </c>
      <c r="N148" s="194">
        <v>2260</v>
      </c>
      <c r="O148" s="217">
        <v>2569</v>
      </c>
      <c r="P148" s="198">
        <v>375</v>
      </c>
      <c r="R148" s="182">
        <v>2062</v>
      </c>
      <c r="S148" s="182">
        <f t="shared" si="31"/>
        <v>0.80264694433631767</v>
      </c>
    </row>
    <row r="149" spans="1:19" customFormat="1" ht="16.5" outlineLevel="1" thickBot="1" x14ac:dyDescent="0.25">
      <c r="A149" s="25" t="s">
        <v>1944</v>
      </c>
      <c r="B149" s="181" t="s">
        <v>1791</v>
      </c>
      <c r="C149" s="94" t="s">
        <v>549</v>
      </c>
      <c r="D149" s="123">
        <f t="shared" si="27"/>
        <v>2413.3333333333335</v>
      </c>
      <c r="E149" s="123">
        <f t="shared" si="32"/>
        <v>482.66666666666674</v>
      </c>
      <c r="F149" s="123">
        <v>2896</v>
      </c>
      <c r="G149" s="75">
        <v>2896</v>
      </c>
      <c r="H149" s="75">
        <v>2413.33</v>
      </c>
      <c r="I149" s="75">
        <v>482.67</v>
      </c>
      <c r="J149" s="175">
        <f t="shared" si="28"/>
        <v>2896</v>
      </c>
      <c r="K149" s="175">
        <f t="shared" si="29"/>
        <v>0</v>
      </c>
      <c r="L149" s="75">
        <f t="shared" si="30"/>
        <v>0</v>
      </c>
      <c r="N149" s="194">
        <v>2260</v>
      </c>
      <c r="O149" s="217">
        <v>2621</v>
      </c>
      <c r="P149" s="198">
        <v>375</v>
      </c>
      <c r="R149" s="182">
        <v>2062</v>
      </c>
      <c r="S149" s="182">
        <f t="shared" si="31"/>
        <v>0.78672262495230827</v>
      </c>
    </row>
    <row r="150" spans="1:19" customFormat="1" ht="158.25" outlineLevel="1" thickBot="1" x14ac:dyDescent="0.25">
      <c r="A150" s="25" t="s">
        <v>1945</v>
      </c>
      <c r="B150" s="181" t="s">
        <v>3620</v>
      </c>
      <c r="C150" s="94" t="s">
        <v>549</v>
      </c>
      <c r="D150" s="123">
        <f t="shared" si="27"/>
        <v>2579.166666666667</v>
      </c>
      <c r="E150" s="123">
        <f t="shared" si="32"/>
        <v>515.83333333333337</v>
      </c>
      <c r="F150" s="123">
        <v>3095</v>
      </c>
      <c r="G150" s="75">
        <v>3095</v>
      </c>
      <c r="H150" s="75">
        <v>2579.17</v>
      </c>
      <c r="I150" s="75">
        <v>515.83000000000004</v>
      </c>
      <c r="J150" s="175">
        <f t="shared" si="28"/>
        <v>3095</v>
      </c>
      <c r="K150" s="175">
        <f t="shared" si="29"/>
        <v>0</v>
      </c>
      <c r="L150" s="75">
        <f t="shared" si="30"/>
        <v>0</v>
      </c>
      <c r="N150" s="194">
        <v>2485</v>
      </c>
      <c r="O150" s="217">
        <v>2820</v>
      </c>
      <c r="P150" s="198">
        <v>375</v>
      </c>
      <c r="R150" s="182">
        <v>2271</v>
      </c>
      <c r="S150" s="182">
        <f t="shared" si="31"/>
        <v>0.80531914893617018</v>
      </c>
    </row>
    <row r="151" spans="1:19" customFormat="1" ht="16.5" outlineLevel="1" thickBot="1" x14ac:dyDescent="0.25">
      <c r="A151" s="25" t="s">
        <v>1946</v>
      </c>
      <c r="B151" s="181" t="s">
        <v>1786</v>
      </c>
      <c r="C151" s="94" t="s">
        <v>549</v>
      </c>
      <c r="D151" s="123">
        <f t="shared" si="27"/>
        <v>2528.3333333333335</v>
      </c>
      <c r="E151" s="123">
        <f t="shared" si="32"/>
        <v>505.66666666666674</v>
      </c>
      <c r="F151" s="123">
        <v>3034</v>
      </c>
      <c r="G151" s="75">
        <v>3034</v>
      </c>
      <c r="H151" s="75">
        <v>2528.33</v>
      </c>
      <c r="I151" s="75">
        <v>505.67</v>
      </c>
      <c r="J151" s="175">
        <f t="shared" si="28"/>
        <v>3034</v>
      </c>
      <c r="K151" s="175">
        <f t="shared" si="29"/>
        <v>0</v>
      </c>
      <c r="L151" s="75">
        <f t="shared" si="30"/>
        <v>0</v>
      </c>
      <c r="N151" s="194">
        <v>2340</v>
      </c>
      <c r="O151" s="217">
        <v>2759</v>
      </c>
      <c r="P151" s="198">
        <v>375</v>
      </c>
      <c r="R151" s="182">
        <v>2149</v>
      </c>
      <c r="S151" s="182">
        <f t="shared" si="31"/>
        <v>0.77890540050743018</v>
      </c>
    </row>
    <row r="152" spans="1:19" customFormat="1" ht="48" outlineLevel="1" thickBot="1" x14ac:dyDescent="0.25">
      <c r="A152" s="25" t="s">
        <v>1947</v>
      </c>
      <c r="B152" s="181" t="s">
        <v>3621</v>
      </c>
      <c r="C152" s="94" t="s">
        <v>549</v>
      </c>
      <c r="D152" s="123">
        <f t="shared" si="27"/>
        <v>2762.5</v>
      </c>
      <c r="E152" s="123">
        <f t="shared" si="32"/>
        <v>552.5</v>
      </c>
      <c r="F152" s="123">
        <v>3315</v>
      </c>
      <c r="G152" s="75">
        <v>3315</v>
      </c>
      <c r="H152" s="75">
        <v>2762.5</v>
      </c>
      <c r="I152" s="75">
        <v>552.5</v>
      </c>
      <c r="J152" s="175">
        <f t="shared" si="28"/>
        <v>3315</v>
      </c>
      <c r="K152" s="175">
        <f t="shared" si="29"/>
        <v>0</v>
      </c>
      <c r="L152" s="75">
        <f t="shared" si="30"/>
        <v>0</v>
      </c>
      <c r="N152" s="194">
        <v>2710</v>
      </c>
      <c r="O152" s="217">
        <v>3040</v>
      </c>
      <c r="P152" s="198">
        <v>375</v>
      </c>
      <c r="R152" s="182">
        <v>2475</v>
      </c>
      <c r="S152" s="182">
        <f t="shared" si="31"/>
        <v>0.81414473684210531</v>
      </c>
    </row>
    <row r="153" spans="1:19" s="83" customFormat="1" ht="19.5" thickBot="1" x14ac:dyDescent="0.25">
      <c r="A153" s="407" t="s">
        <v>1915</v>
      </c>
      <c r="B153" s="452"/>
      <c r="C153" s="452"/>
      <c r="D153" s="452"/>
      <c r="E153" s="452"/>
      <c r="F153" s="409"/>
      <c r="G153" s="75"/>
      <c r="H153" s="75"/>
      <c r="I153" s="75"/>
      <c r="J153" s="175"/>
      <c r="K153" s="175"/>
      <c r="L153" s="75"/>
      <c r="P153" s="198"/>
      <c r="S153" s="182"/>
    </row>
    <row r="154" spans="1:19" customFormat="1" ht="16.5" outlineLevel="1" thickBot="1" x14ac:dyDescent="0.25">
      <c r="A154" s="25" t="s">
        <v>163</v>
      </c>
      <c r="B154" s="181" t="s">
        <v>1806</v>
      </c>
      <c r="C154" s="94" t="s">
        <v>549</v>
      </c>
      <c r="D154" s="123">
        <f t="shared" ref="D154:D156" si="33">F154/1.2</f>
        <v>7380</v>
      </c>
      <c r="E154" s="123">
        <f t="shared" si="32"/>
        <v>1476</v>
      </c>
      <c r="F154" s="123">
        <v>8856</v>
      </c>
      <c r="G154" s="75">
        <v>8856</v>
      </c>
      <c r="H154" s="75">
        <v>7380</v>
      </c>
      <c r="I154" s="75">
        <v>1476</v>
      </c>
      <c r="J154" s="175">
        <f t="shared" si="28"/>
        <v>8856</v>
      </c>
      <c r="K154" s="175">
        <f t="shared" si="29"/>
        <v>0</v>
      </c>
      <c r="L154" s="75">
        <f t="shared" si="30"/>
        <v>0</v>
      </c>
      <c r="N154" s="194">
        <v>8430</v>
      </c>
      <c r="O154" s="217">
        <v>8581</v>
      </c>
      <c r="P154" s="198">
        <v>375</v>
      </c>
      <c r="R154" s="182">
        <v>8172</v>
      </c>
      <c r="S154" s="182">
        <f t="shared" si="31"/>
        <v>0.95233655751077961</v>
      </c>
    </row>
    <row r="155" spans="1:19" customFormat="1" ht="16.5" outlineLevel="1" thickBot="1" x14ac:dyDescent="0.25">
      <c r="A155" s="25" t="s">
        <v>188</v>
      </c>
      <c r="B155" s="181" t="s">
        <v>1805</v>
      </c>
      <c r="C155" s="94" t="s">
        <v>549</v>
      </c>
      <c r="D155" s="123">
        <f t="shared" si="33"/>
        <v>3935.8333333333335</v>
      </c>
      <c r="E155" s="123">
        <f t="shared" si="32"/>
        <v>787.16666666666674</v>
      </c>
      <c r="F155" s="123">
        <v>4723</v>
      </c>
      <c r="G155" s="75">
        <v>4723</v>
      </c>
      <c r="H155" s="75">
        <v>3935.83</v>
      </c>
      <c r="I155" s="75">
        <v>787.17</v>
      </c>
      <c r="J155" s="175">
        <f t="shared" si="28"/>
        <v>4723</v>
      </c>
      <c r="K155" s="175">
        <f t="shared" si="29"/>
        <v>0</v>
      </c>
      <c r="L155" s="75">
        <f t="shared" si="30"/>
        <v>0</v>
      </c>
      <c r="N155" s="194">
        <v>4370</v>
      </c>
      <c r="O155" s="217">
        <v>4448</v>
      </c>
      <c r="P155" s="198">
        <v>375</v>
      </c>
      <c r="R155" s="182">
        <v>4236</v>
      </c>
      <c r="S155" s="182">
        <f t="shared" si="31"/>
        <v>0.95233812949640284</v>
      </c>
    </row>
    <row r="156" spans="1:19" customFormat="1" ht="16.5" outlineLevel="1" thickBot="1" x14ac:dyDescent="0.25">
      <c r="A156" s="25" t="s">
        <v>189</v>
      </c>
      <c r="B156" s="181" t="s">
        <v>1804</v>
      </c>
      <c r="C156" s="94" t="s">
        <v>549</v>
      </c>
      <c r="D156" s="123">
        <f t="shared" si="33"/>
        <v>3678.3333333333335</v>
      </c>
      <c r="E156" s="123">
        <f t="shared" si="32"/>
        <v>735.66666666666674</v>
      </c>
      <c r="F156" s="123">
        <v>4414</v>
      </c>
      <c r="G156" s="75">
        <v>4414</v>
      </c>
      <c r="H156" s="75">
        <v>3678.33</v>
      </c>
      <c r="I156" s="75">
        <v>735.67</v>
      </c>
      <c r="J156" s="175">
        <f t="shared" si="28"/>
        <v>4414</v>
      </c>
      <c r="K156" s="175">
        <f t="shared" si="29"/>
        <v>0</v>
      </c>
      <c r="L156" s="75">
        <f t="shared" si="30"/>
        <v>0</v>
      </c>
      <c r="N156" s="194">
        <v>4065</v>
      </c>
      <c r="O156" s="217">
        <v>4139</v>
      </c>
      <c r="P156" s="198">
        <v>375</v>
      </c>
      <c r="R156" s="182">
        <v>3712</v>
      </c>
      <c r="S156" s="182">
        <f t="shared" si="31"/>
        <v>0.89683498429572361</v>
      </c>
    </row>
    <row r="157" spans="1:19" s="83" customFormat="1" ht="19.5" thickBot="1" x14ac:dyDescent="0.25">
      <c r="A157" s="407" t="s">
        <v>1916</v>
      </c>
      <c r="B157" s="452"/>
      <c r="C157" s="452"/>
      <c r="D157" s="452"/>
      <c r="E157" s="452"/>
      <c r="F157" s="409"/>
      <c r="G157" s="75"/>
      <c r="H157" s="75"/>
      <c r="I157" s="75"/>
      <c r="J157" s="175"/>
      <c r="K157" s="175"/>
      <c r="L157" s="75"/>
      <c r="P157" s="198"/>
      <c r="R157" s="182"/>
      <c r="S157" s="182"/>
    </row>
    <row r="158" spans="1:19" customFormat="1" ht="63.75" outlineLevel="1" thickBot="1" x14ac:dyDescent="0.25">
      <c r="A158" s="25" t="s">
        <v>148</v>
      </c>
      <c r="B158" s="181" t="s">
        <v>3622</v>
      </c>
      <c r="C158" s="94" t="s">
        <v>549</v>
      </c>
      <c r="D158" s="123">
        <f t="shared" ref="D158:D200" si="34">F158/1.2</f>
        <v>11630.833333333334</v>
      </c>
      <c r="E158" s="123">
        <f t="shared" si="32"/>
        <v>2326.166666666667</v>
      </c>
      <c r="F158" s="123">
        <v>13957</v>
      </c>
      <c r="G158" s="75">
        <v>13957</v>
      </c>
      <c r="H158" s="75">
        <v>11630.83</v>
      </c>
      <c r="I158" s="75">
        <v>2326.17</v>
      </c>
      <c r="J158" s="175">
        <f t="shared" si="28"/>
        <v>13957</v>
      </c>
      <c r="K158" s="175">
        <f t="shared" si="29"/>
        <v>0</v>
      </c>
      <c r="L158" s="75">
        <f t="shared" si="30"/>
        <v>0</v>
      </c>
      <c r="N158" s="194">
        <v>11445</v>
      </c>
      <c r="O158" s="217">
        <v>13682</v>
      </c>
      <c r="P158" s="198">
        <v>375</v>
      </c>
      <c r="R158" s="182">
        <v>13031</v>
      </c>
      <c r="S158" s="182">
        <f t="shared" si="31"/>
        <v>0.95241923695366171</v>
      </c>
    </row>
    <row r="159" spans="1:19" customFormat="1" ht="48" outlineLevel="1" thickBot="1" x14ac:dyDescent="0.25">
      <c r="A159" s="25" t="s">
        <v>150</v>
      </c>
      <c r="B159" s="181" t="s">
        <v>3623</v>
      </c>
      <c r="C159" s="94" t="s">
        <v>549</v>
      </c>
      <c r="D159" s="123">
        <f t="shared" si="34"/>
        <v>9419.1666666666679</v>
      </c>
      <c r="E159" s="123">
        <f t="shared" si="32"/>
        <v>1883.8333333333337</v>
      </c>
      <c r="F159" s="123">
        <v>11303</v>
      </c>
      <c r="G159" s="75">
        <v>11303</v>
      </c>
      <c r="H159" s="75">
        <v>9419.17</v>
      </c>
      <c r="I159" s="75">
        <v>1883.83</v>
      </c>
      <c r="J159" s="175">
        <f t="shared" si="28"/>
        <v>11303</v>
      </c>
      <c r="K159" s="175">
        <f t="shared" si="29"/>
        <v>0</v>
      </c>
      <c r="L159" s="75">
        <f t="shared" si="30"/>
        <v>0</v>
      </c>
      <c r="N159" s="194">
        <v>9185</v>
      </c>
      <c r="O159" s="217">
        <v>11028</v>
      </c>
      <c r="P159" s="198">
        <v>375</v>
      </c>
      <c r="R159" s="182">
        <v>10503</v>
      </c>
      <c r="S159" s="182">
        <f t="shared" si="31"/>
        <v>0.95239390642002175</v>
      </c>
    </row>
    <row r="160" spans="1:19" customFormat="1" ht="32.25" outlineLevel="1" thickBot="1" x14ac:dyDescent="0.25">
      <c r="A160" s="25" t="s">
        <v>234</v>
      </c>
      <c r="B160" s="181" t="s">
        <v>3624</v>
      </c>
      <c r="C160" s="94" t="s">
        <v>549</v>
      </c>
      <c r="D160" s="123">
        <f t="shared" si="34"/>
        <v>6592.5</v>
      </c>
      <c r="E160" s="123">
        <f t="shared" si="32"/>
        <v>1318.5</v>
      </c>
      <c r="F160" s="123">
        <v>7911</v>
      </c>
      <c r="G160" s="75">
        <v>7911</v>
      </c>
      <c r="H160" s="75">
        <v>6592.5</v>
      </c>
      <c r="I160" s="75">
        <v>1318.5</v>
      </c>
      <c r="J160" s="175">
        <f t="shared" si="28"/>
        <v>7911</v>
      </c>
      <c r="K160" s="175">
        <f t="shared" si="29"/>
        <v>0</v>
      </c>
      <c r="L160" s="75">
        <f t="shared" si="30"/>
        <v>0</v>
      </c>
      <c r="N160" s="194">
        <v>6325</v>
      </c>
      <c r="O160" s="217">
        <v>7636</v>
      </c>
      <c r="P160" s="198">
        <v>375</v>
      </c>
      <c r="R160" s="182">
        <v>7273</v>
      </c>
      <c r="S160" s="182">
        <f t="shared" si="31"/>
        <v>0.95246202200104768</v>
      </c>
    </row>
    <row r="161" spans="1:19" customFormat="1" ht="32.25" outlineLevel="1" thickBot="1" x14ac:dyDescent="0.25">
      <c r="A161" s="25" t="s">
        <v>299</v>
      </c>
      <c r="B161" s="181" t="s">
        <v>1807</v>
      </c>
      <c r="C161" s="94" t="s">
        <v>549</v>
      </c>
      <c r="D161" s="123">
        <f t="shared" si="34"/>
        <v>6662.5</v>
      </c>
      <c r="E161" s="123">
        <f t="shared" si="32"/>
        <v>1332.5</v>
      </c>
      <c r="F161" s="123">
        <v>7995</v>
      </c>
      <c r="G161" s="75">
        <v>7995</v>
      </c>
      <c r="H161" s="75">
        <v>6662.5</v>
      </c>
      <c r="I161" s="75">
        <v>1332.5</v>
      </c>
      <c r="J161" s="175">
        <f t="shared" si="28"/>
        <v>7995</v>
      </c>
      <c r="K161" s="175">
        <f t="shared" si="29"/>
        <v>0</v>
      </c>
      <c r="L161" s="75">
        <f t="shared" si="30"/>
        <v>0</v>
      </c>
      <c r="N161" s="194">
        <v>6475</v>
      </c>
      <c r="O161" s="217">
        <v>7720</v>
      </c>
      <c r="P161" s="198">
        <v>375</v>
      </c>
      <c r="R161" s="182">
        <v>7352</v>
      </c>
      <c r="S161" s="182">
        <f t="shared" si="31"/>
        <v>0.95233160621761659</v>
      </c>
    </row>
    <row r="162" spans="1:19" customFormat="1" ht="32.25" outlineLevel="1" thickBot="1" x14ac:dyDescent="0.25">
      <c r="A162" s="25" t="s">
        <v>300</v>
      </c>
      <c r="B162" s="181" t="s">
        <v>1808</v>
      </c>
      <c r="C162" s="94" t="s">
        <v>549</v>
      </c>
      <c r="D162" s="123">
        <f t="shared" si="34"/>
        <v>6727.5</v>
      </c>
      <c r="E162" s="123">
        <f t="shared" si="32"/>
        <v>1345.5</v>
      </c>
      <c r="F162" s="123">
        <v>8073</v>
      </c>
      <c r="G162" s="75">
        <v>8073</v>
      </c>
      <c r="H162" s="75">
        <v>6727.5</v>
      </c>
      <c r="I162" s="75">
        <v>1345.5</v>
      </c>
      <c r="J162" s="175">
        <f t="shared" si="28"/>
        <v>8073</v>
      </c>
      <c r="K162" s="175">
        <f t="shared" si="29"/>
        <v>0</v>
      </c>
      <c r="L162" s="75">
        <f t="shared" si="30"/>
        <v>0</v>
      </c>
      <c r="N162" s="194">
        <v>6475</v>
      </c>
      <c r="O162" s="217">
        <v>7798</v>
      </c>
      <c r="P162" s="198">
        <v>375</v>
      </c>
      <c r="R162" s="182">
        <v>7427</v>
      </c>
      <c r="S162" s="182">
        <f t="shared" si="31"/>
        <v>0.95242369838420105</v>
      </c>
    </row>
    <row r="163" spans="1:19" customFormat="1" ht="32.25" outlineLevel="1" thickBot="1" x14ac:dyDescent="0.25">
      <c r="A163" s="25" t="s">
        <v>301</v>
      </c>
      <c r="B163" s="181" t="s">
        <v>1809</v>
      </c>
      <c r="C163" s="94" t="s">
        <v>549</v>
      </c>
      <c r="D163" s="123">
        <f t="shared" si="34"/>
        <v>4868.3333333333339</v>
      </c>
      <c r="E163" s="123">
        <f t="shared" si="32"/>
        <v>973.66666666666686</v>
      </c>
      <c r="F163" s="123">
        <v>5842</v>
      </c>
      <c r="G163" s="75">
        <v>5842</v>
      </c>
      <c r="H163" s="75">
        <v>4868.33</v>
      </c>
      <c r="I163" s="75">
        <v>973.67</v>
      </c>
      <c r="J163" s="175">
        <f t="shared" si="28"/>
        <v>5842</v>
      </c>
      <c r="K163" s="175">
        <f t="shared" si="29"/>
        <v>0</v>
      </c>
      <c r="L163" s="75">
        <f t="shared" si="30"/>
        <v>0</v>
      </c>
      <c r="N163" s="194">
        <v>4670</v>
      </c>
      <c r="O163" s="217">
        <v>5567</v>
      </c>
      <c r="P163" s="198">
        <v>375</v>
      </c>
      <c r="R163" s="182">
        <v>5302</v>
      </c>
      <c r="S163" s="182">
        <f t="shared" si="31"/>
        <v>0.95239805999640736</v>
      </c>
    </row>
    <row r="164" spans="1:19" customFormat="1" ht="32.25" outlineLevel="1" thickBot="1" x14ac:dyDescent="0.25">
      <c r="A164" s="25" t="s">
        <v>302</v>
      </c>
      <c r="B164" s="181" t="s">
        <v>1810</v>
      </c>
      <c r="C164" s="94" t="s">
        <v>549</v>
      </c>
      <c r="D164" s="123">
        <f t="shared" si="34"/>
        <v>5589.166666666667</v>
      </c>
      <c r="E164" s="123">
        <f t="shared" si="32"/>
        <v>1117.8333333333335</v>
      </c>
      <c r="F164" s="123">
        <v>6707</v>
      </c>
      <c r="G164" s="75">
        <v>6707</v>
      </c>
      <c r="H164" s="75">
        <v>5589.17</v>
      </c>
      <c r="I164" s="75">
        <v>1117.83</v>
      </c>
      <c r="J164" s="175">
        <f t="shared" si="28"/>
        <v>6707</v>
      </c>
      <c r="K164" s="175">
        <f t="shared" si="29"/>
        <v>0</v>
      </c>
      <c r="L164" s="75">
        <f t="shared" si="30"/>
        <v>0</v>
      </c>
      <c r="N164" s="194">
        <v>6320</v>
      </c>
      <c r="O164" s="217">
        <v>6432</v>
      </c>
      <c r="P164" s="198">
        <v>375</v>
      </c>
      <c r="R164" s="182">
        <v>6126</v>
      </c>
      <c r="S164" s="182">
        <f t="shared" si="31"/>
        <v>0.9524253731343284</v>
      </c>
    </row>
    <row r="165" spans="1:19" customFormat="1" ht="48" outlineLevel="1" thickBot="1" x14ac:dyDescent="0.25">
      <c r="A165" s="25" t="s">
        <v>424</v>
      </c>
      <c r="B165" s="181" t="s">
        <v>3625</v>
      </c>
      <c r="C165" s="94" t="s">
        <v>549</v>
      </c>
      <c r="D165" s="123">
        <f t="shared" si="34"/>
        <v>11014.166666666668</v>
      </c>
      <c r="E165" s="123">
        <f t="shared" si="32"/>
        <v>2202.8333333333335</v>
      </c>
      <c r="F165" s="123">
        <v>13217</v>
      </c>
      <c r="G165" s="75">
        <v>13217</v>
      </c>
      <c r="H165" s="75">
        <v>11014.17</v>
      </c>
      <c r="I165" s="75">
        <v>2202.83</v>
      </c>
      <c r="J165" s="175">
        <f t="shared" si="28"/>
        <v>13217</v>
      </c>
      <c r="K165" s="175">
        <f t="shared" si="29"/>
        <v>0</v>
      </c>
      <c r="L165" s="75">
        <f t="shared" si="30"/>
        <v>0</v>
      </c>
      <c r="N165" s="194">
        <v>10765</v>
      </c>
      <c r="O165" s="217">
        <v>12942</v>
      </c>
      <c r="P165" s="198">
        <v>375</v>
      </c>
      <c r="R165" s="182">
        <v>12326</v>
      </c>
      <c r="S165" s="182">
        <f t="shared" si="31"/>
        <v>0.95240302889816097</v>
      </c>
    </row>
    <row r="166" spans="1:19" customFormat="1" ht="48" outlineLevel="1" thickBot="1" x14ac:dyDescent="0.25">
      <c r="A166" s="25" t="s">
        <v>425</v>
      </c>
      <c r="B166" s="181" t="s">
        <v>3632</v>
      </c>
      <c r="C166" s="94" t="s">
        <v>549</v>
      </c>
      <c r="D166" s="123">
        <f t="shared" si="34"/>
        <v>9656.6666666666679</v>
      </c>
      <c r="E166" s="123">
        <f t="shared" si="32"/>
        <v>1931.3333333333337</v>
      </c>
      <c r="F166" s="123">
        <v>11588</v>
      </c>
      <c r="G166" s="75">
        <v>11588</v>
      </c>
      <c r="H166" s="75">
        <v>9656.67</v>
      </c>
      <c r="I166" s="75">
        <v>1931.33</v>
      </c>
      <c r="J166" s="175">
        <f t="shared" si="28"/>
        <v>11588</v>
      </c>
      <c r="K166" s="175">
        <f t="shared" si="29"/>
        <v>0</v>
      </c>
      <c r="L166" s="75">
        <f t="shared" si="30"/>
        <v>0</v>
      </c>
      <c r="N166" s="194">
        <v>9560</v>
      </c>
      <c r="O166" s="217">
        <v>11313</v>
      </c>
      <c r="P166" s="198">
        <v>375</v>
      </c>
      <c r="R166" s="182">
        <v>10774</v>
      </c>
      <c r="S166" s="182">
        <f t="shared" si="31"/>
        <v>0.95235569698576861</v>
      </c>
    </row>
    <row r="167" spans="1:19" customFormat="1" ht="32.25" outlineLevel="1" thickBot="1" x14ac:dyDescent="0.25">
      <c r="A167" s="25" t="s">
        <v>450</v>
      </c>
      <c r="B167" s="181" t="s">
        <v>3633</v>
      </c>
      <c r="C167" s="94" t="s">
        <v>549</v>
      </c>
      <c r="D167" s="123">
        <f t="shared" si="34"/>
        <v>9965</v>
      </c>
      <c r="E167" s="123">
        <f t="shared" si="32"/>
        <v>1993</v>
      </c>
      <c r="F167" s="123">
        <v>11958</v>
      </c>
      <c r="G167" s="75">
        <v>11958</v>
      </c>
      <c r="H167" s="75">
        <v>9965</v>
      </c>
      <c r="I167" s="75">
        <v>1993</v>
      </c>
      <c r="J167" s="175">
        <f t="shared" si="28"/>
        <v>11958</v>
      </c>
      <c r="K167" s="175">
        <f t="shared" si="29"/>
        <v>0</v>
      </c>
      <c r="L167" s="75">
        <f t="shared" si="30"/>
        <v>0</v>
      </c>
      <c r="N167" s="194">
        <v>9860</v>
      </c>
      <c r="O167" s="217">
        <v>11683</v>
      </c>
      <c r="P167" s="198">
        <v>375</v>
      </c>
      <c r="R167" s="182">
        <v>11126</v>
      </c>
      <c r="S167" s="182">
        <f t="shared" si="31"/>
        <v>0.95232388941196611</v>
      </c>
    </row>
    <row r="168" spans="1:19" customFormat="1" ht="48" outlineLevel="1" thickBot="1" x14ac:dyDescent="0.25">
      <c r="A168" s="25" t="s">
        <v>1437</v>
      </c>
      <c r="B168" s="181" t="s">
        <v>1811</v>
      </c>
      <c r="C168" s="94" t="s">
        <v>549</v>
      </c>
      <c r="D168" s="123">
        <f t="shared" si="34"/>
        <v>6878.3333333333339</v>
      </c>
      <c r="E168" s="123">
        <f t="shared" si="32"/>
        <v>1375.666666666667</v>
      </c>
      <c r="F168" s="123">
        <v>8254</v>
      </c>
      <c r="G168" s="75">
        <v>8254</v>
      </c>
      <c r="H168" s="75">
        <v>6878.33</v>
      </c>
      <c r="I168" s="75">
        <v>1375.67</v>
      </c>
      <c r="J168" s="175">
        <f t="shared" si="28"/>
        <v>8254</v>
      </c>
      <c r="K168" s="175">
        <f t="shared" si="29"/>
        <v>0</v>
      </c>
      <c r="L168" s="75">
        <f t="shared" si="30"/>
        <v>0</v>
      </c>
      <c r="N168" s="194">
        <v>6625</v>
      </c>
      <c r="O168" s="217">
        <v>7979</v>
      </c>
      <c r="P168" s="198">
        <v>375</v>
      </c>
      <c r="R168" s="182">
        <v>7599</v>
      </c>
      <c r="S168" s="182">
        <f t="shared" si="31"/>
        <v>0.95237498433387646</v>
      </c>
    </row>
    <row r="169" spans="1:19" customFormat="1" ht="32.25" outlineLevel="1" thickBot="1" x14ac:dyDescent="0.25">
      <c r="A169" s="25" t="s">
        <v>1438</v>
      </c>
      <c r="B169" s="181" t="s">
        <v>3634</v>
      </c>
      <c r="C169" s="94" t="s">
        <v>549</v>
      </c>
      <c r="D169" s="123">
        <f t="shared" si="34"/>
        <v>6927.5</v>
      </c>
      <c r="E169" s="123">
        <f t="shared" si="32"/>
        <v>1385.5</v>
      </c>
      <c r="F169" s="123">
        <v>8313</v>
      </c>
      <c r="G169" s="75">
        <v>8313</v>
      </c>
      <c r="H169" s="75">
        <v>6927.5</v>
      </c>
      <c r="I169" s="75">
        <v>1385.5</v>
      </c>
      <c r="J169" s="175">
        <f t="shared" si="28"/>
        <v>8313</v>
      </c>
      <c r="K169" s="175">
        <f t="shared" si="29"/>
        <v>0</v>
      </c>
      <c r="L169" s="75">
        <f t="shared" si="30"/>
        <v>0</v>
      </c>
      <c r="N169" s="194">
        <v>6700</v>
      </c>
      <c r="O169" s="217">
        <v>8038</v>
      </c>
      <c r="P169" s="198">
        <v>375</v>
      </c>
      <c r="R169" s="182">
        <v>7655</v>
      </c>
      <c r="S169" s="182">
        <f t="shared" si="31"/>
        <v>0.95235133117690973</v>
      </c>
    </row>
    <row r="170" spans="1:19" customFormat="1" ht="48" outlineLevel="1" thickBot="1" x14ac:dyDescent="0.25">
      <c r="A170" s="25" t="s">
        <v>1439</v>
      </c>
      <c r="B170" s="181" t="s">
        <v>3635</v>
      </c>
      <c r="C170" s="94" t="s">
        <v>549</v>
      </c>
      <c r="D170" s="123">
        <f t="shared" si="34"/>
        <v>9290</v>
      </c>
      <c r="E170" s="123">
        <f t="shared" si="32"/>
        <v>1858</v>
      </c>
      <c r="F170" s="123">
        <v>11148</v>
      </c>
      <c r="G170" s="75">
        <v>11148</v>
      </c>
      <c r="H170" s="75">
        <v>9290</v>
      </c>
      <c r="I170" s="75">
        <v>1858</v>
      </c>
      <c r="J170" s="175">
        <f t="shared" si="28"/>
        <v>11148</v>
      </c>
      <c r="K170" s="175">
        <f t="shared" si="29"/>
        <v>0</v>
      </c>
      <c r="L170" s="75">
        <f t="shared" si="30"/>
        <v>0</v>
      </c>
      <c r="N170" s="194">
        <v>9035</v>
      </c>
      <c r="O170" s="217">
        <v>10873</v>
      </c>
      <c r="P170" s="198">
        <v>375</v>
      </c>
      <c r="R170" s="182">
        <v>10355</v>
      </c>
      <c r="S170" s="182">
        <f t="shared" si="31"/>
        <v>0.95235905453876579</v>
      </c>
    </row>
    <row r="171" spans="1:19" customFormat="1" ht="32.25" outlineLevel="1" thickBot="1" x14ac:dyDescent="0.25">
      <c r="A171" s="25" t="s">
        <v>1440</v>
      </c>
      <c r="B171" s="181" t="s">
        <v>3636</v>
      </c>
      <c r="C171" s="94" t="s">
        <v>549</v>
      </c>
      <c r="D171" s="123">
        <f t="shared" si="34"/>
        <v>7119.166666666667</v>
      </c>
      <c r="E171" s="123">
        <f t="shared" si="32"/>
        <v>1423.8333333333335</v>
      </c>
      <c r="F171" s="123">
        <v>8543</v>
      </c>
      <c r="G171" s="75">
        <v>8543</v>
      </c>
      <c r="H171" s="75">
        <v>7119.17</v>
      </c>
      <c r="I171" s="75">
        <v>1423.83</v>
      </c>
      <c r="J171" s="175">
        <f t="shared" si="28"/>
        <v>8543</v>
      </c>
      <c r="K171" s="175">
        <f t="shared" si="29"/>
        <v>0</v>
      </c>
      <c r="L171" s="75">
        <f t="shared" si="30"/>
        <v>0</v>
      </c>
      <c r="N171" s="194">
        <v>7000</v>
      </c>
      <c r="O171" s="217">
        <v>8268</v>
      </c>
      <c r="P171" s="198">
        <v>375</v>
      </c>
      <c r="R171" s="182">
        <v>7875</v>
      </c>
      <c r="S171" s="182">
        <f t="shared" si="31"/>
        <v>0.9524673439767779</v>
      </c>
    </row>
    <row r="172" spans="1:19" customFormat="1" ht="32.25" outlineLevel="1" thickBot="1" x14ac:dyDescent="0.25">
      <c r="A172" s="25" t="s">
        <v>1441</v>
      </c>
      <c r="B172" s="181" t="s">
        <v>1812</v>
      </c>
      <c r="C172" s="94" t="s">
        <v>549</v>
      </c>
      <c r="D172" s="123">
        <f t="shared" si="34"/>
        <v>4597.5</v>
      </c>
      <c r="E172" s="123">
        <f t="shared" si="32"/>
        <v>919.5</v>
      </c>
      <c r="F172" s="123">
        <v>5517</v>
      </c>
      <c r="G172" s="75">
        <v>5517</v>
      </c>
      <c r="H172" s="75">
        <v>4597.5</v>
      </c>
      <c r="I172" s="75">
        <v>919.5</v>
      </c>
      <c r="J172" s="175">
        <f t="shared" si="28"/>
        <v>5517</v>
      </c>
      <c r="K172" s="175">
        <f t="shared" si="29"/>
        <v>0</v>
      </c>
      <c r="L172" s="75">
        <f t="shared" si="30"/>
        <v>0</v>
      </c>
      <c r="N172" s="194">
        <v>4225</v>
      </c>
      <c r="O172" s="217">
        <v>5242</v>
      </c>
      <c r="P172" s="198">
        <v>375</v>
      </c>
      <c r="R172" s="182">
        <v>4993</v>
      </c>
      <c r="S172" s="182">
        <f t="shared" si="31"/>
        <v>0.95249904616558567</v>
      </c>
    </row>
    <row r="173" spans="1:19" customFormat="1" ht="48" outlineLevel="1" thickBot="1" x14ac:dyDescent="0.25">
      <c r="A173" s="25" t="s">
        <v>1442</v>
      </c>
      <c r="B173" s="181" t="s">
        <v>3637</v>
      </c>
      <c r="C173" s="94" t="s">
        <v>549</v>
      </c>
      <c r="D173" s="123">
        <f t="shared" si="34"/>
        <v>6830.8333333333339</v>
      </c>
      <c r="E173" s="123">
        <f t="shared" si="32"/>
        <v>1366.166666666667</v>
      </c>
      <c r="F173" s="123">
        <v>8197</v>
      </c>
      <c r="G173" s="75">
        <v>8197</v>
      </c>
      <c r="H173" s="75">
        <v>6830.83</v>
      </c>
      <c r="I173" s="75">
        <v>1366.17</v>
      </c>
      <c r="J173" s="175">
        <f t="shared" si="28"/>
        <v>8197</v>
      </c>
      <c r="K173" s="175">
        <f t="shared" si="29"/>
        <v>0</v>
      </c>
      <c r="L173" s="75">
        <f t="shared" si="30"/>
        <v>0</v>
      </c>
      <c r="N173" s="194">
        <v>6110</v>
      </c>
      <c r="O173" s="217">
        <v>7922</v>
      </c>
      <c r="P173" s="198">
        <v>375</v>
      </c>
      <c r="R173" s="182">
        <v>7544</v>
      </c>
      <c r="S173" s="182">
        <f t="shared" si="31"/>
        <v>0.95228477657157284</v>
      </c>
    </row>
    <row r="174" spans="1:19" customFormat="1" ht="32.25" outlineLevel="1" thickBot="1" x14ac:dyDescent="0.25">
      <c r="A174" s="25" t="s">
        <v>1948</v>
      </c>
      <c r="B174" s="181" t="s">
        <v>1813</v>
      </c>
      <c r="C174" s="94" t="s">
        <v>549</v>
      </c>
      <c r="D174" s="123">
        <f t="shared" si="34"/>
        <v>5042.5</v>
      </c>
      <c r="E174" s="123">
        <f t="shared" si="32"/>
        <v>1008.5</v>
      </c>
      <c r="F174" s="123">
        <v>6051</v>
      </c>
      <c r="G174" s="75">
        <v>6051</v>
      </c>
      <c r="H174" s="75">
        <v>5042.5</v>
      </c>
      <c r="I174" s="75">
        <v>1008.5</v>
      </c>
      <c r="J174" s="175">
        <f t="shared" si="28"/>
        <v>6051</v>
      </c>
      <c r="K174" s="175">
        <f t="shared" si="29"/>
        <v>0</v>
      </c>
      <c r="L174" s="75">
        <f t="shared" si="30"/>
        <v>0</v>
      </c>
      <c r="N174" s="194">
        <v>4895</v>
      </c>
      <c r="O174" s="217">
        <v>5776</v>
      </c>
      <c r="P174" s="198">
        <v>375</v>
      </c>
      <c r="R174" s="182">
        <v>5501</v>
      </c>
      <c r="S174" s="182">
        <f t="shared" si="31"/>
        <v>0.95238919667590027</v>
      </c>
    </row>
    <row r="175" spans="1:19" customFormat="1" ht="48" outlineLevel="1" thickBot="1" x14ac:dyDescent="0.25">
      <c r="A175" s="25" t="s">
        <v>1949</v>
      </c>
      <c r="B175" s="181" t="s">
        <v>3638</v>
      </c>
      <c r="C175" s="94" t="s">
        <v>549</v>
      </c>
      <c r="D175" s="123">
        <f t="shared" si="34"/>
        <v>11143.333333333334</v>
      </c>
      <c r="E175" s="123">
        <f t="shared" si="32"/>
        <v>2228.666666666667</v>
      </c>
      <c r="F175" s="123">
        <v>13372</v>
      </c>
      <c r="G175" s="75">
        <v>13372</v>
      </c>
      <c r="H175" s="75">
        <v>11143.33</v>
      </c>
      <c r="I175" s="75">
        <v>2228.67</v>
      </c>
      <c r="J175" s="175">
        <f t="shared" si="28"/>
        <v>13372</v>
      </c>
      <c r="K175" s="175">
        <f t="shared" si="29"/>
        <v>0</v>
      </c>
      <c r="L175" s="75">
        <f t="shared" si="30"/>
        <v>0</v>
      </c>
      <c r="N175" s="194">
        <v>10915</v>
      </c>
      <c r="O175" s="217">
        <v>13097</v>
      </c>
      <c r="P175" s="198">
        <v>375</v>
      </c>
      <c r="R175" s="182">
        <v>12474</v>
      </c>
      <c r="S175" s="182">
        <f t="shared" si="31"/>
        <v>0.95243185462319613</v>
      </c>
    </row>
    <row r="176" spans="1:19" customFormat="1" ht="32.25" outlineLevel="1" thickBot="1" x14ac:dyDescent="0.25">
      <c r="A176" s="25" t="s">
        <v>1950</v>
      </c>
      <c r="B176" s="181" t="s">
        <v>1814</v>
      </c>
      <c r="C176" s="94" t="s">
        <v>549</v>
      </c>
      <c r="D176" s="123">
        <f t="shared" si="34"/>
        <v>4913.3333333333339</v>
      </c>
      <c r="E176" s="123">
        <f t="shared" si="32"/>
        <v>982.66666666666686</v>
      </c>
      <c r="F176" s="123">
        <v>5896</v>
      </c>
      <c r="G176" s="75">
        <v>5896</v>
      </c>
      <c r="H176" s="75">
        <v>4913.33</v>
      </c>
      <c r="I176" s="75">
        <v>982.67</v>
      </c>
      <c r="J176" s="175">
        <f t="shared" si="28"/>
        <v>5896</v>
      </c>
      <c r="K176" s="175">
        <f t="shared" si="29"/>
        <v>0</v>
      </c>
      <c r="L176" s="75">
        <f t="shared" si="30"/>
        <v>0</v>
      </c>
      <c r="N176" s="194">
        <v>4745</v>
      </c>
      <c r="O176" s="217">
        <v>5621</v>
      </c>
      <c r="P176" s="198">
        <v>375</v>
      </c>
      <c r="R176" s="182">
        <v>5353</v>
      </c>
      <c r="S176" s="182">
        <f t="shared" si="31"/>
        <v>0.95232165095178789</v>
      </c>
    </row>
    <row r="177" spans="1:19" customFormat="1" ht="63.75" outlineLevel="1" thickBot="1" x14ac:dyDescent="0.25">
      <c r="A177" s="25" t="s">
        <v>1951</v>
      </c>
      <c r="B177" s="181" t="s">
        <v>3639</v>
      </c>
      <c r="C177" s="94" t="s">
        <v>549</v>
      </c>
      <c r="D177" s="123">
        <f t="shared" si="34"/>
        <v>11492.5</v>
      </c>
      <c r="E177" s="123">
        <f t="shared" si="32"/>
        <v>2298.5</v>
      </c>
      <c r="F177" s="123">
        <v>13791</v>
      </c>
      <c r="G177" s="75">
        <v>13791</v>
      </c>
      <c r="H177" s="75">
        <v>11492.5</v>
      </c>
      <c r="I177" s="75">
        <v>2298.5</v>
      </c>
      <c r="J177" s="175">
        <f t="shared" si="28"/>
        <v>13791</v>
      </c>
      <c r="K177" s="175">
        <f t="shared" si="29"/>
        <v>0</v>
      </c>
      <c r="L177" s="75">
        <f t="shared" si="30"/>
        <v>0</v>
      </c>
      <c r="N177" s="194">
        <v>11290</v>
      </c>
      <c r="O177" s="217">
        <v>13516</v>
      </c>
      <c r="P177" s="198">
        <v>375</v>
      </c>
      <c r="R177" s="182">
        <v>12872</v>
      </c>
      <c r="S177" s="182">
        <f t="shared" si="31"/>
        <v>0.95235276709085526</v>
      </c>
    </row>
    <row r="178" spans="1:19" customFormat="1" ht="32.25" outlineLevel="1" thickBot="1" x14ac:dyDescent="0.25">
      <c r="A178" s="25" t="s">
        <v>1952</v>
      </c>
      <c r="B178" s="181" t="s">
        <v>1815</v>
      </c>
      <c r="C178" s="94" t="s">
        <v>549</v>
      </c>
      <c r="D178" s="123">
        <f t="shared" si="34"/>
        <v>6727.5</v>
      </c>
      <c r="E178" s="123">
        <f t="shared" si="32"/>
        <v>1345.5</v>
      </c>
      <c r="F178" s="123">
        <v>8073</v>
      </c>
      <c r="G178" s="75">
        <v>8073</v>
      </c>
      <c r="H178" s="75">
        <v>6727.5</v>
      </c>
      <c r="I178" s="75">
        <v>1345.5</v>
      </c>
      <c r="J178" s="175">
        <f t="shared" si="28"/>
        <v>8073</v>
      </c>
      <c r="K178" s="175">
        <f t="shared" si="29"/>
        <v>0</v>
      </c>
      <c r="L178" s="75">
        <f t="shared" si="30"/>
        <v>0</v>
      </c>
      <c r="N178" s="194">
        <v>6475</v>
      </c>
      <c r="O178" s="217">
        <v>7798</v>
      </c>
      <c r="P178" s="198">
        <v>375</v>
      </c>
      <c r="R178" s="182">
        <v>7427</v>
      </c>
      <c r="S178" s="182">
        <f t="shared" si="31"/>
        <v>0.95242369838420105</v>
      </c>
    </row>
    <row r="179" spans="1:19" customFormat="1" ht="32.25" outlineLevel="1" thickBot="1" x14ac:dyDescent="0.25">
      <c r="A179" s="25" t="s">
        <v>1953</v>
      </c>
      <c r="B179" s="181" t="s">
        <v>1816</v>
      </c>
      <c r="C179" s="94" t="s">
        <v>549</v>
      </c>
      <c r="D179" s="123">
        <f t="shared" si="34"/>
        <v>5021.666666666667</v>
      </c>
      <c r="E179" s="123">
        <f t="shared" si="32"/>
        <v>1004.3333333333335</v>
      </c>
      <c r="F179" s="123">
        <v>6026</v>
      </c>
      <c r="G179" s="75">
        <v>6026</v>
      </c>
      <c r="H179" s="75">
        <v>5021.67</v>
      </c>
      <c r="I179" s="75">
        <v>1004.33</v>
      </c>
      <c r="J179" s="175">
        <f t="shared" si="28"/>
        <v>6026</v>
      </c>
      <c r="K179" s="175">
        <f t="shared" si="29"/>
        <v>0</v>
      </c>
      <c r="L179" s="75">
        <f t="shared" si="30"/>
        <v>0</v>
      </c>
      <c r="N179" s="194">
        <v>4895</v>
      </c>
      <c r="O179" s="217">
        <v>5751</v>
      </c>
      <c r="P179" s="198">
        <v>375</v>
      </c>
      <c r="R179" s="182">
        <v>5477</v>
      </c>
      <c r="S179" s="182">
        <f t="shared" si="31"/>
        <v>0.95235611198052517</v>
      </c>
    </row>
    <row r="180" spans="1:19" customFormat="1" ht="32.25" outlineLevel="1" thickBot="1" x14ac:dyDescent="0.25">
      <c r="A180" s="25" t="s">
        <v>1954</v>
      </c>
      <c r="B180" s="181" t="s">
        <v>3640</v>
      </c>
      <c r="C180" s="94" t="s">
        <v>549</v>
      </c>
      <c r="D180" s="123">
        <f t="shared" si="34"/>
        <v>7186.666666666667</v>
      </c>
      <c r="E180" s="123">
        <f t="shared" si="32"/>
        <v>1437.3333333333335</v>
      </c>
      <c r="F180" s="123">
        <v>8624</v>
      </c>
      <c r="G180" s="75">
        <v>8624</v>
      </c>
      <c r="H180" s="75">
        <v>7186.67</v>
      </c>
      <c r="I180" s="75">
        <v>1437.33</v>
      </c>
      <c r="J180" s="175">
        <f t="shared" si="28"/>
        <v>8624</v>
      </c>
      <c r="K180" s="175">
        <f t="shared" si="29"/>
        <v>0</v>
      </c>
      <c r="L180" s="75">
        <f t="shared" si="30"/>
        <v>0</v>
      </c>
      <c r="N180" s="194">
        <v>7000</v>
      </c>
      <c r="O180" s="217">
        <v>8349</v>
      </c>
      <c r="P180" s="198">
        <v>375</v>
      </c>
      <c r="R180" s="182">
        <v>7951</v>
      </c>
      <c r="S180" s="182">
        <f t="shared" si="31"/>
        <v>0.95232962031381008</v>
      </c>
    </row>
    <row r="181" spans="1:19" customFormat="1" ht="48" outlineLevel="1" thickBot="1" x14ac:dyDescent="0.25">
      <c r="A181" s="25" t="s">
        <v>1955</v>
      </c>
      <c r="B181" s="181" t="s">
        <v>3641</v>
      </c>
      <c r="C181" s="94" t="s">
        <v>549</v>
      </c>
      <c r="D181" s="123">
        <f t="shared" si="34"/>
        <v>9245</v>
      </c>
      <c r="E181" s="123">
        <f t="shared" si="32"/>
        <v>1849</v>
      </c>
      <c r="F181" s="123">
        <v>11094</v>
      </c>
      <c r="G181" s="75">
        <v>11094</v>
      </c>
      <c r="H181" s="75">
        <v>9245</v>
      </c>
      <c r="I181" s="75">
        <v>1849</v>
      </c>
      <c r="J181" s="175">
        <f t="shared" si="28"/>
        <v>11094</v>
      </c>
      <c r="K181" s="175">
        <f t="shared" si="29"/>
        <v>0</v>
      </c>
      <c r="L181" s="75">
        <f t="shared" si="30"/>
        <v>0</v>
      </c>
      <c r="N181" s="194">
        <v>9035</v>
      </c>
      <c r="O181" s="217">
        <v>10819</v>
      </c>
      <c r="P181" s="198">
        <v>375</v>
      </c>
      <c r="R181" s="182">
        <v>10304</v>
      </c>
      <c r="S181" s="182">
        <f t="shared" si="31"/>
        <v>0.95239855809224516</v>
      </c>
    </row>
    <row r="182" spans="1:19" customFormat="1" ht="32.25" outlineLevel="1" thickBot="1" x14ac:dyDescent="0.25">
      <c r="A182" s="25" t="s">
        <v>1956</v>
      </c>
      <c r="B182" s="181" t="s">
        <v>1817</v>
      </c>
      <c r="C182" s="94" t="s">
        <v>549</v>
      </c>
      <c r="D182" s="123">
        <f t="shared" si="34"/>
        <v>7035.8333333333339</v>
      </c>
      <c r="E182" s="123">
        <f t="shared" si="32"/>
        <v>1407.166666666667</v>
      </c>
      <c r="F182" s="123">
        <v>8443</v>
      </c>
      <c r="G182" s="75">
        <v>8443</v>
      </c>
      <c r="H182" s="75">
        <v>7035.83</v>
      </c>
      <c r="I182" s="75">
        <v>1407.17</v>
      </c>
      <c r="J182" s="175">
        <f t="shared" si="28"/>
        <v>8443</v>
      </c>
      <c r="K182" s="175">
        <f t="shared" si="29"/>
        <v>0</v>
      </c>
      <c r="L182" s="75">
        <f t="shared" si="30"/>
        <v>0</v>
      </c>
      <c r="N182" s="194">
        <v>6850</v>
      </c>
      <c r="O182" s="217">
        <v>8168</v>
      </c>
      <c r="P182" s="198">
        <v>375</v>
      </c>
      <c r="R182" s="182">
        <v>7779</v>
      </c>
      <c r="S182" s="182">
        <f t="shared" si="31"/>
        <v>0.95237512242899114</v>
      </c>
    </row>
    <row r="183" spans="1:19" customFormat="1" ht="32.25" outlineLevel="1" thickBot="1" x14ac:dyDescent="0.25">
      <c r="A183" s="25" t="s">
        <v>1957</v>
      </c>
      <c r="B183" s="181" t="s">
        <v>1818</v>
      </c>
      <c r="C183" s="94" t="s">
        <v>549</v>
      </c>
      <c r="D183" s="123">
        <f t="shared" si="34"/>
        <v>6836.666666666667</v>
      </c>
      <c r="E183" s="123">
        <f t="shared" si="32"/>
        <v>1367.3333333333335</v>
      </c>
      <c r="F183" s="123">
        <v>8204</v>
      </c>
      <c r="G183" s="75">
        <v>8204</v>
      </c>
      <c r="H183" s="75">
        <v>6836.67</v>
      </c>
      <c r="I183" s="75">
        <v>1367.33</v>
      </c>
      <c r="J183" s="175">
        <f t="shared" si="28"/>
        <v>8204</v>
      </c>
      <c r="K183" s="175">
        <f t="shared" si="29"/>
        <v>0</v>
      </c>
      <c r="L183" s="75">
        <f t="shared" si="30"/>
        <v>0</v>
      </c>
      <c r="N183" s="194">
        <v>6625</v>
      </c>
      <c r="O183" s="217">
        <v>7929</v>
      </c>
      <c r="P183" s="198">
        <v>375</v>
      </c>
      <c r="R183" s="182">
        <v>7551</v>
      </c>
      <c r="S183" s="182">
        <f t="shared" si="31"/>
        <v>0.9523269012485811</v>
      </c>
    </row>
    <row r="184" spans="1:19" customFormat="1" ht="63.75" outlineLevel="1" thickBot="1" x14ac:dyDescent="0.25">
      <c r="A184" s="25" t="s">
        <v>1958</v>
      </c>
      <c r="B184" s="181" t="s">
        <v>3642</v>
      </c>
      <c r="C184" s="94" t="s">
        <v>549</v>
      </c>
      <c r="D184" s="123">
        <f t="shared" si="34"/>
        <v>9528.3333333333339</v>
      </c>
      <c r="E184" s="123">
        <f t="shared" si="32"/>
        <v>1905.666666666667</v>
      </c>
      <c r="F184" s="123">
        <v>11434</v>
      </c>
      <c r="G184" s="75">
        <v>11434</v>
      </c>
      <c r="H184" s="75">
        <v>9528.33</v>
      </c>
      <c r="I184" s="75">
        <v>1905.67</v>
      </c>
      <c r="J184" s="175">
        <f t="shared" si="28"/>
        <v>11434</v>
      </c>
      <c r="K184" s="175">
        <f t="shared" si="29"/>
        <v>0</v>
      </c>
      <c r="L184" s="75">
        <f t="shared" si="30"/>
        <v>0</v>
      </c>
      <c r="N184" s="194">
        <v>9335</v>
      </c>
      <c r="O184" s="217">
        <v>11159</v>
      </c>
      <c r="P184" s="198">
        <v>375</v>
      </c>
      <c r="R184" s="182">
        <v>10628</v>
      </c>
      <c r="S184" s="182">
        <f t="shared" si="31"/>
        <v>0.95241509095797117</v>
      </c>
    </row>
    <row r="185" spans="1:19" customFormat="1" ht="32.25" outlineLevel="1" thickBot="1" x14ac:dyDescent="0.25">
      <c r="A185" s="25" t="s">
        <v>1959</v>
      </c>
      <c r="B185" s="181" t="s">
        <v>1819</v>
      </c>
      <c r="C185" s="94" t="s">
        <v>549</v>
      </c>
      <c r="D185" s="123">
        <f t="shared" si="34"/>
        <v>4780</v>
      </c>
      <c r="E185" s="123">
        <f t="shared" si="32"/>
        <v>956</v>
      </c>
      <c r="F185" s="123">
        <v>5736</v>
      </c>
      <c r="G185" s="75">
        <v>5736</v>
      </c>
      <c r="H185" s="75">
        <v>4780</v>
      </c>
      <c r="I185" s="75">
        <v>956</v>
      </c>
      <c r="J185" s="175">
        <f t="shared" si="28"/>
        <v>5736</v>
      </c>
      <c r="K185" s="175">
        <f t="shared" si="29"/>
        <v>0</v>
      </c>
      <c r="L185" s="75">
        <f t="shared" si="30"/>
        <v>0</v>
      </c>
      <c r="N185" s="194">
        <v>4515</v>
      </c>
      <c r="O185" s="217">
        <v>5461</v>
      </c>
      <c r="P185" s="198">
        <v>375</v>
      </c>
      <c r="R185" s="182">
        <v>5201</v>
      </c>
      <c r="S185" s="182">
        <f t="shared" si="31"/>
        <v>0.95238967222120485</v>
      </c>
    </row>
    <row r="186" spans="1:19" customFormat="1" ht="32.25" outlineLevel="1" thickBot="1" x14ac:dyDescent="0.25">
      <c r="A186" s="25" t="s">
        <v>1960</v>
      </c>
      <c r="B186" s="181" t="s">
        <v>1820</v>
      </c>
      <c r="C186" s="94" t="s">
        <v>549</v>
      </c>
      <c r="D186" s="123">
        <f t="shared" si="34"/>
        <v>7230.8333333333339</v>
      </c>
      <c r="E186" s="123">
        <f t="shared" si="32"/>
        <v>1446.166666666667</v>
      </c>
      <c r="F186" s="123">
        <v>8677</v>
      </c>
      <c r="G186" s="75">
        <v>8677</v>
      </c>
      <c r="H186" s="75">
        <v>7230.83</v>
      </c>
      <c r="I186" s="75">
        <v>1446.17</v>
      </c>
      <c r="J186" s="175">
        <f t="shared" si="28"/>
        <v>8677</v>
      </c>
      <c r="K186" s="175">
        <f t="shared" si="29"/>
        <v>0</v>
      </c>
      <c r="L186" s="75">
        <f t="shared" si="30"/>
        <v>0</v>
      </c>
      <c r="N186" s="194">
        <v>7080</v>
      </c>
      <c r="O186" s="217">
        <v>8402</v>
      </c>
      <c r="P186" s="198">
        <v>375</v>
      </c>
      <c r="R186" s="182">
        <v>8002</v>
      </c>
      <c r="S186" s="182">
        <f t="shared" si="31"/>
        <v>0.95239228755058325</v>
      </c>
    </row>
    <row r="187" spans="1:19" customFormat="1" ht="32.25" outlineLevel="1" thickBot="1" x14ac:dyDescent="0.25">
      <c r="A187" s="25" t="s">
        <v>1961</v>
      </c>
      <c r="B187" s="181" t="s">
        <v>1821</v>
      </c>
      <c r="C187" s="94" t="s">
        <v>549</v>
      </c>
      <c r="D187" s="123">
        <f t="shared" si="34"/>
        <v>6570</v>
      </c>
      <c r="E187" s="123">
        <f t="shared" si="32"/>
        <v>1314</v>
      </c>
      <c r="F187" s="123">
        <v>7884</v>
      </c>
      <c r="G187" s="75">
        <v>7884</v>
      </c>
      <c r="H187" s="75">
        <v>6570</v>
      </c>
      <c r="I187" s="75">
        <v>1314</v>
      </c>
      <c r="J187" s="175">
        <f t="shared" si="28"/>
        <v>7884</v>
      </c>
      <c r="K187" s="175">
        <f t="shared" si="29"/>
        <v>0</v>
      </c>
      <c r="L187" s="75">
        <f t="shared" si="30"/>
        <v>0</v>
      </c>
      <c r="N187" s="194">
        <v>6325</v>
      </c>
      <c r="O187" s="217">
        <v>7609</v>
      </c>
      <c r="P187" s="198">
        <v>375</v>
      </c>
      <c r="R187" s="182">
        <v>7246</v>
      </c>
      <c r="S187" s="182">
        <f t="shared" si="31"/>
        <v>0.95229333683795503</v>
      </c>
    </row>
    <row r="188" spans="1:19" customFormat="1" ht="32.25" outlineLevel="1" thickBot="1" x14ac:dyDescent="0.25">
      <c r="A188" s="25" t="s">
        <v>1962</v>
      </c>
      <c r="B188" s="181" t="s">
        <v>1822</v>
      </c>
      <c r="C188" s="94" t="s">
        <v>549</v>
      </c>
      <c r="D188" s="123">
        <f t="shared" si="34"/>
        <v>7140.8333333333339</v>
      </c>
      <c r="E188" s="123">
        <f t="shared" si="32"/>
        <v>1428.166666666667</v>
      </c>
      <c r="F188" s="123">
        <v>8569</v>
      </c>
      <c r="G188" s="75">
        <v>8569</v>
      </c>
      <c r="H188" s="75">
        <v>7140.83</v>
      </c>
      <c r="I188" s="75">
        <v>1428.17</v>
      </c>
      <c r="J188" s="175">
        <f t="shared" si="28"/>
        <v>8569</v>
      </c>
      <c r="K188" s="175">
        <f t="shared" si="29"/>
        <v>0</v>
      </c>
      <c r="L188" s="75">
        <f t="shared" si="30"/>
        <v>0</v>
      </c>
      <c r="N188" s="194">
        <v>7230</v>
      </c>
      <c r="O188" s="217">
        <v>8294</v>
      </c>
      <c r="P188" s="198">
        <v>375</v>
      </c>
      <c r="R188" s="182">
        <v>7899</v>
      </c>
      <c r="S188" s="182">
        <f t="shared" si="31"/>
        <v>0.95237521099590061</v>
      </c>
    </row>
    <row r="189" spans="1:19" customFormat="1" ht="32.25" outlineLevel="1" thickBot="1" x14ac:dyDescent="0.25">
      <c r="A189" s="25" t="s">
        <v>1963</v>
      </c>
      <c r="B189" s="181" t="s">
        <v>1823</v>
      </c>
      <c r="C189" s="94" t="s">
        <v>549</v>
      </c>
      <c r="D189" s="123">
        <f t="shared" si="34"/>
        <v>4538.3333333333339</v>
      </c>
      <c r="E189" s="123">
        <f t="shared" si="32"/>
        <v>907.66666666666686</v>
      </c>
      <c r="F189" s="123">
        <v>5446</v>
      </c>
      <c r="G189" s="75">
        <v>5446</v>
      </c>
      <c r="H189" s="75">
        <v>4538.33</v>
      </c>
      <c r="I189" s="75">
        <v>907.67</v>
      </c>
      <c r="J189" s="175">
        <f t="shared" si="28"/>
        <v>5446</v>
      </c>
      <c r="K189" s="175">
        <f t="shared" si="29"/>
        <v>0</v>
      </c>
      <c r="L189" s="75">
        <f t="shared" si="30"/>
        <v>0</v>
      </c>
      <c r="N189" s="194">
        <v>4365</v>
      </c>
      <c r="O189" s="217">
        <v>5171</v>
      </c>
      <c r="P189" s="198">
        <v>375</v>
      </c>
      <c r="R189" s="182">
        <v>4925</v>
      </c>
      <c r="S189" s="182">
        <f t="shared" si="31"/>
        <v>0.95242699671243469</v>
      </c>
    </row>
    <row r="190" spans="1:19" customFormat="1" ht="32.25" outlineLevel="1" thickBot="1" x14ac:dyDescent="0.25">
      <c r="A190" s="25" t="s">
        <v>1964</v>
      </c>
      <c r="B190" s="181" t="s">
        <v>1824</v>
      </c>
      <c r="C190" s="94" t="s">
        <v>549</v>
      </c>
      <c r="D190" s="123">
        <f t="shared" si="34"/>
        <v>6900.8333333333339</v>
      </c>
      <c r="E190" s="123">
        <f t="shared" si="32"/>
        <v>1380.166666666667</v>
      </c>
      <c r="F190" s="123">
        <v>8281</v>
      </c>
      <c r="G190" s="75">
        <v>8281</v>
      </c>
      <c r="H190" s="75">
        <v>6900.83</v>
      </c>
      <c r="I190" s="75">
        <v>1380.17</v>
      </c>
      <c r="J190" s="175">
        <f t="shared" si="28"/>
        <v>8281</v>
      </c>
      <c r="K190" s="175">
        <f t="shared" si="29"/>
        <v>0</v>
      </c>
      <c r="L190" s="75">
        <f t="shared" si="30"/>
        <v>0</v>
      </c>
      <c r="N190" s="194">
        <v>6700</v>
      </c>
      <c r="O190" s="217">
        <v>8006</v>
      </c>
      <c r="P190" s="198">
        <v>375</v>
      </c>
      <c r="R190" s="182">
        <v>7625</v>
      </c>
      <c r="S190" s="182">
        <f t="shared" si="31"/>
        <v>0.95241069198101425</v>
      </c>
    </row>
    <row r="191" spans="1:19" customFormat="1" ht="48" outlineLevel="1" thickBot="1" x14ac:dyDescent="0.25">
      <c r="A191" s="25" t="s">
        <v>1965</v>
      </c>
      <c r="B191" s="181" t="s">
        <v>1825</v>
      </c>
      <c r="C191" s="94" t="s">
        <v>549</v>
      </c>
      <c r="D191" s="123">
        <f t="shared" si="34"/>
        <v>8870</v>
      </c>
      <c r="E191" s="123">
        <f t="shared" si="32"/>
        <v>1774</v>
      </c>
      <c r="F191" s="123">
        <v>10644</v>
      </c>
      <c r="G191" s="75">
        <v>10644</v>
      </c>
      <c r="H191" s="75">
        <v>8870</v>
      </c>
      <c r="I191" s="75">
        <v>1774</v>
      </c>
      <c r="J191" s="175">
        <f t="shared" si="28"/>
        <v>10644</v>
      </c>
      <c r="K191" s="175">
        <f t="shared" si="29"/>
        <v>0</v>
      </c>
      <c r="L191" s="75">
        <f t="shared" si="30"/>
        <v>0</v>
      </c>
      <c r="N191" s="194">
        <v>8655</v>
      </c>
      <c r="O191" s="217">
        <v>10369</v>
      </c>
      <c r="P191" s="198">
        <v>375</v>
      </c>
      <c r="R191" s="182">
        <v>9876</v>
      </c>
      <c r="S191" s="182">
        <f t="shared" si="31"/>
        <v>0.95245443147844533</v>
      </c>
    </row>
    <row r="192" spans="1:19" customFormat="1" ht="32.25" outlineLevel="1" thickBot="1" x14ac:dyDescent="0.25">
      <c r="A192" s="25" t="s">
        <v>1966</v>
      </c>
      <c r="B192" s="181" t="s">
        <v>1826</v>
      </c>
      <c r="C192" s="94" t="s">
        <v>549</v>
      </c>
      <c r="D192" s="123">
        <f t="shared" si="34"/>
        <v>6967.5</v>
      </c>
      <c r="E192" s="123">
        <f t="shared" si="32"/>
        <v>1393.5</v>
      </c>
      <c r="F192" s="123">
        <v>8361</v>
      </c>
      <c r="G192" s="75">
        <v>8361</v>
      </c>
      <c r="H192" s="75">
        <v>6967.5</v>
      </c>
      <c r="I192" s="75">
        <v>1393.5</v>
      </c>
      <c r="J192" s="175">
        <f t="shared" si="28"/>
        <v>8361</v>
      </c>
      <c r="K192" s="175">
        <f t="shared" si="29"/>
        <v>0</v>
      </c>
      <c r="L192" s="75">
        <f t="shared" si="30"/>
        <v>0</v>
      </c>
      <c r="N192" s="194">
        <v>6775</v>
      </c>
      <c r="O192" s="217">
        <v>8086</v>
      </c>
      <c r="P192" s="198">
        <v>375</v>
      </c>
      <c r="R192" s="182">
        <v>7701</v>
      </c>
      <c r="S192" s="182">
        <f t="shared" si="31"/>
        <v>0.95238684145436558</v>
      </c>
    </row>
    <row r="193" spans="1:19" customFormat="1" ht="48" outlineLevel="1" thickBot="1" x14ac:dyDescent="0.25">
      <c r="A193" s="25" t="s">
        <v>1967</v>
      </c>
      <c r="B193" s="181" t="s">
        <v>1827</v>
      </c>
      <c r="C193" s="94" t="s">
        <v>549</v>
      </c>
      <c r="D193" s="123">
        <f t="shared" si="34"/>
        <v>9115</v>
      </c>
      <c r="E193" s="123">
        <f t="shared" si="32"/>
        <v>1823</v>
      </c>
      <c r="F193" s="123">
        <v>10938</v>
      </c>
      <c r="G193" s="75">
        <v>10938</v>
      </c>
      <c r="H193" s="75">
        <v>9115</v>
      </c>
      <c r="I193" s="75">
        <v>1823</v>
      </c>
      <c r="J193" s="175">
        <f t="shared" si="28"/>
        <v>10938</v>
      </c>
      <c r="K193" s="175">
        <f t="shared" si="29"/>
        <v>0</v>
      </c>
      <c r="L193" s="75">
        <f t="shared" si="30"/>
        <v>0</v>
      </c>
      <c r="N193" s="194">
        <v>8885</v>
      </c>
      <c r="O193" s="217">
        <v>10663</v>
      </c>
      <c r="P193" s="198">
        <v>375</v>
      </c>
      <c r="R193" s="182">
        <v>10156</v>
      </c>
      <c r="S193" s="182">
        <f t="shared" si="31"/>
        <v>0.95245240551439558</v>
      </c>
    </row>
    <row r="194" spans="1:19" customFormat="1" ht="32.25" outlineLevel="1" thickBot="1" x14ac:dyDescent="0.25">
      <c r="A194" s="25" t="s">
        <v>1968</v>
      </c>
      <c r="B194" s="181" t="s">
        <v>3643</v>
      </c>
      <c r="C194" s="94" t="s">
        <v>549</v>
      </c>
      <c r="D194" s="123">
        <f t="shared" si="34"/>
        <v>4645.8333333333339</v>
      </c>
      <c r="E194" s="123">
        <f t="shared" si="32"/>
        <v>929.16666666666686</v>
      </c>
      <c r="F194" s="123">
        <v>5575</v>
      </c>
      <c r="G194" s="75">
        <v>5575</v>
      </c>
      <c r="H194" s="75">
        <v>4645.83</v>
      </c>
      <c r="I194" s="75">
        <v>929.17</v>
      </c>
      <c r="J194" s="175">
        <f t="shared" si="28"/>
        <v>5575</v>
      </c>
      <c r="K194" s="175">
        <f t="shared" si="29"/>
        <v>0</v>
      </c>
      <c r="L194" s="75">
        <f t="shared" si="30"/>
        <v>0</v>
      </c>
      <c r="N194" s="194">
        <v>4030</v>
      </c>
      <c r="O194" s="217">
        <v>5300</v>
      </c>
      <c r="P194" s="198">
        <v>375</v>
      </c>
      <c r="R194" s="182">
        <v>5048</v>
      </c>
      <c r="S194" s="182">
        <f t="shared" si="31"/>
        <v>0.95245283018867921</v>
      </c>
    </row>
    <row r="195" spans="1:19" customFormat="1" ht="48" outlineLevel="1" thickBot="1" x14ac:dyDescent="0.25">
      <c r="A195" s="25" t="s">
        <v>1969</v>
      </c>
      <c r="B195" s="181" t="s">
        <v>3644</v>
      </c>
      <c r="C195" s="94" t="s">
        <v>549</v>
      </c>
      <c r="D195" s="123">
        <f t="shared" si="34"/>
        <v>7117.5</v>
      </c>
      <c r="E195" s="123">
        <f t="shared" si="32"/>
        <v>1423.5</v>
      </c>
      <c r="F195" s="123">
        <v>8541</v>
      </c>
      <c r="G195" s="75">
        <v>8541</v>
      </c>
      <c r="H195" s="75">
        <v>7117.5</v>
      </c>
      <c r="I195" s="75">
        <v>1423.5</v>
      </c>
      <c r="J195" s="175">
        <f t="shared" si="28"/>
        <v>8541</v>
      </c>
      <c r="K195" s="175">
        <f t="shared" si="29"/>
        <v>0</v>
      </c>
      <c r="L195" s="75">
        <f t="shared" si="30"/>
        <v>0</v>
      </c>
      <c r="N195" s="194">
        <v>6240</v>
      </c>
      <c r="O195" s="217">
        <v>8266</v>
      </c>
      <c r="P195" s="198">
        <v>375</v>
      </c>
      <c r="R195" s="182">
        <v>7873</v>
      </c>
      <c r="S195" s="182">
        <f t="shared" si="31"/>
        <v>0.95245584321316235</v>
      </c>
    </row>
    <row r="196" spans="1:19" customFormat="1" ht="32.25" outlineLevel="1" thickBot="1" x14ac:dyDescent="0.25">
      <c r="A196" s="25" t="s">
        <v>1970</v>
      </c>
      <c r="B196" s="181" t="s">
        <v>1828</v>
      </c>
      <c r="C196" s="94" t="s">
        <v>549</v>
      </c>
      <c r="D196" s="123">
        <f t="shared" si="34"/>
        <v>4848.3333333333339</v>
      </c>
      <c r="E196" s="123">
        <f t="shared" si="32"/>
        <v>969.66666666666686</v>
      </c>
      <c r="F196" s="123">
        <v>5818</v>
      </c>
      <c r="G196" s="75">
        <v>5818</v>
      </c>
      <c r="H196" s="75">
        <v>4848.33</v>
      </c>
      <c r="I196" s="75">
        <v>969.67</v>
      </c>
      <c r="J196" s="175">
        <f t="shared" si="28"/>
        <v>5818</v>
      </c>
      <c r="K196" s="175">
        <f t="shared" si="29"/>
        <v>0</v>
      </c>
      <c r="L196" s="75">
        <f t="shared" si="30"/>
        <v>0</v>
      </c>
      <c r="N196" s="194">
        <v>4665</v>
      </c>
      <c r="O196" s="217">
        <v>5543</v>
      </c>
      <c r="P196" s="198">
        <v>375</v>
      </c>
      <c r="R196" s="182">
        <v>5279</v>
      </c>
      <c r="S196" s="182">
        <f t="shared" si="31"/>
        <v>0.95237236153707383</v>
      </c>
    </row>
    <row r="197" spans="1:19" customFormat="1" ht="32.25" outlineLevel="1" thickBot="1" x14ac:dyDescent="0.25">
      <c r="A197" s="25" t="s">
        <v>1971</v>
      </c>
      <c r="B197" s="181" t="s">
        <v>3645</v>
      </c>
      <c r="C197" s="94" t="s">
        <v>549</v>
      </c>
      <c r="D197" s="123">
        <f t="shared" si="34"/>
        <v>6727.5</v>
      </c>
      <c r="E197" s="123">
        <f t="shared" si="32"/>
        <v>1345.5</v>
      </c>
      <c r="F197" s="123">
        <v>8073</v>
      </c>
      <c r="G197" s="75">
        <v>8073</v>
      </c>
      <c r="H197" s="75">
        <v>6727.5</v>
      </c>
      <c r="I197" s="75">
        <v>1345.5</v>
      </c>
      <c r="J197" s="175">
        <f t="shared" si="28"/>
        <v>8073</v>
      </c>
      <c r="K197" s="175">
        <f t="shared" si="29"/>
        <v>0</v>
      </c>
      <c r="L197" s="75">
        <f t="shared" si="30"/>
        <v>0</v>
      </c>
      <c r="N197" s="194">
        <v>6475</v>
      </c>
      <c r="O197" s="217">
        <v>7798</v>
      </c>
      <c r="P197" s="198">
        <v>375</v>
      </c>
      <c r="R197" s="182">
        <v>7427</v>
      </c>
      <c r="S197" s="182">
        <f t="shared" si="31"/>
        <v>0.95242369838420105</v>
      </c>
    </row>
    <row r="198" spans="1:19" customFormat="1" ht="32.25" outlineLevel="1" thickBot="1" x14ac:dyDescent="0.25">
      <c r="A198" s="25" t="s">
        <v>1972</v>
      </c>
      <c r="B198" s="181" t="s">
        <v>1829</v>
      </c>
      <c r="C198" s="94" t="s">
        <v>549</v>
      </c>
      <c r="D198" s="123">
        <f t="shared" si="34"/>
        <v>6598.3333333333339</v>
      </c>
      <c r="E198" s="123">
        <f t="shared" si="32"/>
        <v>1319.666666666667</v>
      </c>
      <c r="F198" s="123">
        <v>7918</v>
      </c>
      <c r="G198" s="75">
        <v>7918</v>
      </c>
      <c r="H198" s="75">
        <v>6598.33</v>
      </c>
      <c r="I198" s="75">
        <v>1319.67</v>
      </c>
      <c r="J198" s="175">
        <f t="shared" si="28"/>
        <v>7918</v>
      </c>
      <c r="K198" s="175">
        <f t="shared" si="29"/>
        <v>0</v>
      </c>
      <c r="L198" s="75">
        <f t="shared" si="30"/>
        <v>0</v>
      </c>
      <c r="N198" s="194">
        <v>6325</v>
      </c>
      <c r="O198" s="217">
        <v>7643</v>
      </c>
      <c r="P198" s="198">
        <v>375</v>
      </c>
      <c r="R198" s="182">
        <v>7279</v>
      </c>
      <c r="S198" s="182">
        <f t="shared" si="31"/>
        <v>0.9523747219678137</v>
      </c>
    </row>
    <row r="199" spans="1:19" customFormat="1" ht="48" outlineLevel="1" thickBot="1" x14ac:dyDescent="0.25">
      <c r="A199" s="25" t="s">
        <v>1973</v>
      </c>
      <c r="B199" s="181" t="s">
        <v>1830</v>
      </c>
      <c r="C199" s="94" t="s">
        <v>549</v>
      </c>
      <c r="D199" s="123">
        <f t="shared" si="34"/>
        <v>8651.6666666666679</v>
      </c>
      <c r="E199" s="123">
        <f t="shared" si="32"/>
        <v>1730.3333333333337</v>
      </c>
      <c r="F199" s="123">
        <v>10382</v>
      </c>
      <c r="G199" s="75">
        <v>10382</v>
      </c>
      <c r="H199" s="75">
        <v>8651.67</v>
      </c>
      <c r="I199" s="75">
        <v>1730.33</v>
      </c>
      <c r="J199" s="175">
        <f t="shared" si="28"/>
        <v>10382</v>
      </c>
      <c r="K199" s="175">
        <f t="shared" si="29"/>
        <v>0</v>
      </c>
      <c r="L199" s="75">
        <f t="shared" si="30"/>
        <v>0</v>
      </c>
      <c r="N199" s="194">
        <v>8430</v>
      </c>
      <c r="O199" s="217">
        <v>10107</v>
      </c>
      <c r="P199" s="198">
        <v>375</v>
      </c>
      <c r="R199" s="182">
        <v>9626</v>
      </c>
      <c r="S199" s="182">
        <f t="shared" si="31"/>
        <v>0.95240922133175032</v>
      </c>
    </row>
    <row r="200" spans="1:19" customFormat="1" ht="32.25" outlineLevel="1" thickBot="1" x14ac:dyDescent="0.25">
      <c r="A200" s="25" t="s">
        <v>1974</v>
      </c>
      <c r="B200" s="181" t="s">
        <v>1831</v>
      </c>
      <c r="C200" s="94" t="s">
        <v>549</v>
      </c>
      <c r="D200" s="123">
        <f t="shared" si="34"/>
        <v>5063.3333333333339</v>
      </c>
      <c r="E200" s="123">
        <f t="shared" si="32"/>
        <v>1012.6666666666669</v>
      </c>
      <c r="F200" s="123">
        <v>6076</v>
      </c>
      <c r="G200" s="75">
        <v>6076</v>
      </c>
      <c r="H200" s="75">
        <v>5063.33</v>
      </c>
      <c r="I200" s="75">
        <v>1012.67</v>
      </c>
      <c r="J200" s="175">
        <f t="shared" ref="J200:J263" si="35">I200+H200</f>
        <v>6076</v>
      </c>
      <c r="K200" s="175">
        <f t="shared" ref="K200:K263" si="36">G200-J200</f>
        <v>0</v>
      </c>
      <c r="L200" s="75">
        <f t="shared" ref="L200:L263" si="37">F200-G200</f>
        <v>0</v>
      </c>
      <c r="N200" s="194">
        <v>4895</v>
      </c>
      <c r="O200" s="217">
        <v>5801</v>
      </c>
      <c r="P200" s="198">
        <v>375</v>
      </c>
      <c r="R200" s="182">
        <v>5524</v>
      </c>
      <c r="S200" s="182">
        <f t="shared" si="31"/>
        <v>0.9522496121358387</v>
      </c>
    </row>
    <row r="201" spans="1:19" s="83" customFormat="1" ht="18.75" x14ac:dyDescent="0.2">
      <c r="A201" s="392" t="s">
        <v>1832</v>
      </c>
      <c r="B201" s="459"/>
      <c r="C201" s="459"/>
      <c r="D201" s="459"/>
      <c r="E201" s="459"/>
      <c r="F201" s="460"/>
      <c r="G201" s="75"/>
      <c r="H201" s="75"/>
      <c r="I201" s="75"/>
      <c r="J201" s="175"/>
      <c r="K201" s="175"/>
      <c r="L201" s="75"/>
      <c r="P201" s="198"/>
      <c r="S201" s="182"/>
    </row>
    <row r="202" spans="1:19" s="83" customFormat="1" ht="19.5" thickBot="1" x14ac:dyDescent="0.25">
      <c r="A202" s="407" t="s">
        <v>1917</v>
      </c>
      <c r="B202" s="452"/>
      <c r="C202" s="452"/>
      <c r="D202" s="452"/>
      <c r="E202" s="452"/>
      <c r="F202" s="409"/>
      <c r="G202" s="75"/>
      <c r="H202" s="75"/>
      <c r="I202" s="75"/>
      <c r="J202" s="175"/>
      <c r="K202" s="175"/>
      <c r="L202" s="75"/>
      <c r="P202" s="198"/>
      <c r="S202" s="182"/>
    </row>
    <row r="203" spans="1:19" customFormat="1" ht="16.5" outlineLevel="1" thickBot="1" x14ac:dyDescent="0.25">
      <c r="A203" s="25" t="s">
        <v>277</v>
      </c>
      <c r="B203" s="181" t="s">
        <v>3646</v>
      </c>
      <c r="C203" s="94" t="s">
        <v>549</v>
      </c>
      <c r="D203" s="123">
        <f t="shared" ref="D203:D213" si="38">F203/1.2</f>
        <v>1931.6666666666667</v>
      </c>
      <c r="E203" s="123">
        <f t="shared" ref="E203:E269" si="39">D203*0.2</f>
        <v>386.33333333333337</v>
      </c>
      <c r="F203" s="123">
        <v>2318</v>
      </c>
      <c r="G203" s="75">
        <v>2318</v>
      </c>
      <c r="H203" s="75">
        <v>1931.67</v>
      </c>
      <c r="I203" s="75">
        <v>386.33</v>
      </c>
      <c r="J203" s="175">
        <f t="shared" si="35"/>
        <v>2318</v>
      </c>
      <c r="K203" s="175">
        <f t="shared" si="36"/>
        <v>0</v>
      </c>
      <c r="L203" s="75">
        <f t="shared" si="37"/>
        <v>0</v>
      </c>
      <c r="N203" s="194">
        <v>1805</v>
      </c>
      <c r="O203" s="217">
        <v>2043</v>
      </c>
      <c r="P203" s="198">
        <v>375</v>
      </c>
      <c r="R203" s="182">
        <v>1650</v>
      </c>
      <c r="S203" s="182">
        <f t="shared" si="31"/>
        <v>0.80763582966226133</v>
      </c>
    </row>
    <row r="204" spans="1:19" customFormat="1" ht="16.5" outlineLevel="1" thickBot="1" x14ac:dyDescent="0.25">
      <c r="A204" s="25" t="s">
        <v>278</v>
      </c>
      <c r="B204" s="181" t="s">
        <v>3647</v>
      </c>
      <c r="C204" s="94" t="s">
        <v>549</v>
      </c>
      <c r="D204" s="123">
        <f t="shared" si="38"/>
        <v>1931.6666666666667</v>
      </c>
      <c r="E204" s="123">
        <f t="shared" si="39"/>
        <v>386.33333333333337</v>
      </c>
      <c r="F204" s="123">
        <v>2318</v>
      </c>
      <c r="G204" s="75">
        <v>2318</v>
      </c>
      <c r="H204" s="75">
        <v>1931.67</v>
      </c>
      <c r="I204" s="75">
        <v>386.33</v>
      </c>
      <c r="J204" s="175">
        <f t="shared" si="35"/>
        <v>2318</v>
      </c>
      <c r="K204" s="175">
        <f t="shared" si="36"/>
        <v>0</v>
      </c>
      <c r="L204" s="75">
        <f t="shared" si="37"/>
        <v>0</v>
      </c>
      <c r="N204" s="194">
        <v>1805</v>
      </c>
      <c r="O204" s="217">
        <v>2043</v>
      </c>
      <c r="P204" s="198">
        <v>375</v>
      </c>
      <c r="R204" s="182">
        <v>1650</v>
      </c>
      <c r="S204" s="182">
        <f t="shared" ref="S204:S266" si="40">R204/O204</f>
        <v>0.80763582966226133</v>
      </c>
    </row>
    <row r="205" spans="1:19" customFormat="1" ht="16.5" outlineLevel="1" thickBot="1" x14ac:dyDescent="0.25">
      <c r="A205" s="25" t="s">
        <v>279</v>
      </c>
      <c r="B205" s="181" t="s">
        <v>3648</v>
      </c>
      <c r="C205" s="94" t="s">
        <v>549</v>
      </c>
      <c r="D205" s="123">
        <f t="shared" si="38"/>
        <v>1841.6666666666667</v>
      </c>
      <c r="E205" s="123">
        <f t="shared" si="39"/>
        <v>368.33333333333337</v>
      </c>
      <c r="F205" s="123">
        <v>2210</v>
      </c>
      <c r="G205" s="75">
        <v>2210</v>
      </c>
      <c r="H205" s="75">
        <v>1841.67</v>
      </c>
      <c r="I205" s="75">
        <v>368.33</v>
      </c>
      <c r="J205" s="175">
        <f t="shared" si="35"/>
        <v>2210</v>
      </c>
      <c r="K205" s="175">
        <f t="shared" si="36"/>
        <v>0</v>
      </c>
      <c r="L205" s="75">
        <f t="shared" si="37"/>
        <v>0</v>
      </c>
      <c r="N205" s="194">
        <v>1805</v>
      </c>
      <c r="O205" s="217">
        <v>1935</v>
      </c>
      <c r="P205" s="198">
        <v>375</v>
      </c>
      <c r="R205" s="182">
        <v>1106</v>
      </c>
      <c r="S205" s="182">
        <f t="shared" si="40"/>
        <v>0.57157622739018088</v>
      </c>
    </row>
    <row r="206" spans="1:19" customFormat="1" ht="16.5" outlineLevel="1" thickBot="1" x14ac:dyDescent="0.25">
      <c r="A206" s="25" t="s">
        <v>355</v>
      </c>
      <c r="B206" s="181" t="s">
        <v>3649</v>
      </c>
      <c r="C206" s="94" t="s">
        <v>549</v>
      </c>
      <c r="D206" s="123">
        <f t="shared" si="38"/>
        <v>1795.8333333333335</v>
      </c>
      <c r="E206" s="123">
        <f t="shared" si="39"/>
        <v>359.16666666666674</v>
      </c>
      <c r="F206" s="123">
        <v>2155</v>
      </c>
      <c r="G206" s="75">
        <v>2155</v>
      </c>
      <c r="H206" s="75">
        <v>1795.83</v>
      </c>
      <c r="I206" s="75">
        <v>359.17</v>
      </c>
      <c r="J206" s="175">
        <f t="shared" si="35"/>
        <v>2155</v>
      </c>
      <c r="K206" s="175">
        <f t="shared" si="36"/>
        <v>0</v>
      </c>
      <c r="L206" s="75">
        <f t="shared" si="37"/>
        <v>0</v>
      </c>
      <c r="N206" s="194">
        <v>1655</v>
      </c>
      <c r="O206" s="217">
        <v>1880</v>
      </c>
      <c r="P206" s="198">
        <v>375</v>
      </c>
      <c r="R206" s="182">
        <v>1514</v>
      </c>
      <c r="S206" s="182">
        <f t="shared" si="40"/>
        <v>0.80531914893617018</v>
      </c>
    </row>
    <row r="207" spans="1:19" customFormat="1" ht="32.25" outlineLevel="1" thickBot="1" x14ac:dyDescent="0.25">
      <c r="A207" s="25" t="s">
        <v>356</v>
      </c>
      <c r="B207" s="181" t="s">
        <v>3650</v>
      </c>
      <c r="C207" s="94" t="s">
        <v>549</v>
      </c>
      <c r="D207" s="123">
        <f t="shared" si="38"/>
        <v>2347.5</v>
      </c>
      <c r="E207" s="123">
        <f t="shared" si="39"/>
        <v>469.5</v>
      </c>
      <c r="F207" s="123">
        <v>2817</v>
      </c>
      <c r="G207" s="75">
        <v>2817</v>
      </c>
      <c r="H207" s="75">
        <v>2347.5</v>
      </c>
      <c r="I207" s="75">
        <v>469.5</v>
      </c>
      <c r="J207" s="175">
        <f t="shared" si="35"/>
        <v>2817</v>
      </c>
      <c r="K207" s="175">
        <f t="shared" si="36"/>
        <v>0</v>
      </c>
      <c r="L207" s="75">
        <f t="shared" si="37"/>
        <v>0</v>
      </c>
      <c r="N207" s="194">
        <v>2260</v>
      </c>
      <c r="O207" s="217">
        <v>2542</v>
      </c>
      <c r="P207" s="198">
        <v>375</v>
      </c>
      <c r="R207" s="182">
        <v>2062</v>
      </c>
      <c r="S207" s="182">
        <f t="shared" si="40"/>
        <v>0.8111723052714398</v>
      </c>
    </row>
    <row r="208" spans="1:19" customFormat="1" ht="16.5" outlineLevel="1" thickBot="1" x14ac:dyDescent="0.25">
      <c r="A208" s="25" t="s">
        <v>357</v>
      </c>
      <c r="B208" s="181" t="s">
        <v>1833</v>
      </c>
      <c r="C208" s="94" t="s">
        <v>549</v>
      </c>
      <c r="D208" s="123">
        <f t="shared" si="38"/>
        <v>2217.5</v>
      </c>
      <c r="E208" s="123">
        <f t="shared" si="39"/>
        <v>443.5</v>
      </c>
      <c r="F208" s="123">
        <v>2661</v>
      </c>
      <c r="G208" s="75">
        <v>2661</v>
      </c>
      <c r="H208" s="75">
        <v>2217.5</v>
      </c>
      <c r="I208" s="75">
        <v>443.5</v>
      </c>
      <c r="J208" s="175">
        <f t="shared" si="35"/>
        <v>2661</v>
      </c>
      <c r="K208" s="175">
        <f t="shared" si="36"/>
        <v>0</v>
      </c>
      <c r="L208" s="75">
        <f t="shared" si="37"/>
        <v>0</v>
      </c>
      <c r="N208" s="194">
        <v>1950</v>
      </c>
      <c r="O208" s="217">
        <v>2386</v>
      </c>
      <c r="P208" s="198">
        <v>375</v>
      </c>
      <c r="R208" s="182">
        <v>1870</v>
      </c>
      <c r="S208" s="182">
        <f t="shared" si="40"/>
        <v>0.78373847443419953</v>
      </c>
    </row>
    <row r="209" spans="1:19" customFormat="1" ht="32.25" outlineLevel="1" thickBot="1" x14ac:dyDescent="0.25">
      <c r="A209" s="25" t="s">
        <v>358</v>
      </c>
      <c r="B209" s="181" t="s">
        <v>3652</v>
      </c>
      <c r="C209" s="94" t="s">
        <v>549</v>
      </c>
      <c r="D209" s="123">
        <f t="shared" si="38"/>
        <v>2217.5</v>
      </c>
      <c r="E209" s="123">
        <f t="shared" si="39"/>
        <v>443.5</v>
      </c>
      <c r="F209" s="123">
        <v>2661</v>
      </c>
      <c r="G209" s="75">
        <v>2661</v>
      </c>
      <c r="H209" s="75">
        <v>2217.5</v>
      </c>
      <c r="I209" s="75">
        <v>443.5</v>
      </c>
      <c r="J209" s="175">
        <f t="shared" si="35"/>
        <v>2661</v>
      </c>
      <c r="K209" s="175">
        <f t="shared" si="36"/>
        <v>0</v>
      </c>
      <c r="L209" s="75">
        <f t="shared" si="37"/>
        <v>0</v>
      </c>
      <c r="N209" s="194">
        <v>1950</v>
      </c>
      <c r="O209" s="217">
        <v>2386</v>
      </c>
      <c r="P209" s="198">
        <v>375</v>
      </c>
      <c r="R209" s="182">
        <v>1870</v>
      </c>
      <c r="S209" s="182">
        <f t="shared" si="40"/>
        <v>0.78373847443419953</v>
      </c>
    </row>
    <row r="210" spans="1:19" customFormat="1" ht="56.25" customHeight="1" outlineLevel="1" thickBot="1" x14ac:dyDescent="0.25">
      <c r="A210" s="25" t="s">
        <v>1975</v>
      </c>
      <c r="B210" s="181" t="s">
        <v>3653</v>
      </c>
      <c r="C210" s="94" t="s">
        <v>549</v>
      </c>
      <c r="D210" s="123">
        <f t="shared" si="38"/>
        <v>2217.5</v>
      </c>
      <c r="E210" s="123">
        <f t="shared" si="39"/>
        <v>443.5</v>
      </c>
      <c r="F210" s="123">
        <v>2661</v>
      </c>
      <c r="G210" s="75">
        <v>2661</v>
      </c>
      <c r="H210" s="75">
        <v>2217.5</v>
      </c>
      <c r="I210" s="75">
        <v>443.5</v>
      </c>
      <c r="J210" s="175">
        <f t="shared" si="35"/>
        <v>2661</v>
      </c>
      <c r="K210" s="175">
        <f t="shared" si="36"/>
        <v>0</v>
      </c>
      <c r="L210" s="75">
        <f t="shared" si="37"/>
        <v>0</v>
      </c>
      <c r="N210" s="194">
        <v>1950</v>
      </c>
      <c r="O210" s="217">
        <v>2386</v>
      </c>
      <c r="P210" s="198">
        <v>375</v>
      </c>
      <c r="R210" s="182">
        <v>1870</v>
      </c>
      <c r="S210" s="182">
        <f t="shared" si="40"/>
        <v>0.78373847443419953</v>
      </c>
    </row>
    <row r="211" spans="1:19" customFormat="1" ht="16.5" outlineLevel="1" thickBot="1" x14ac:dyDescent="0.25">
      <c r="A211" s="25" t="s">
        <v>1976</v>
      </c>
      <c r="B211" s="181" t="s">
        <v>3593</v>
      </c>
      <c r="C211" s="94" t="s">
        <v>549</v>
      </c>
      <c r="D211" s="123">
        <f t="shared" si="38"/>
        <v>3243.3333333333335</v>
      </c>
      <c r="E211" s="123">
        <f t="shared" si="39"/>
        <v>648.66666666666674</v>
      </c>
      <c r="F211" s="123">
        <v>3892</v>
      </c>
      <c r="G211" s="75">
        <v>3892</v>
      </c>
      <c r="H211" s="75">
        <v>3243.33</v>
      </c>
      <c r="I211" s="75">
        <v>648.66999999999996</v>
      </c>
      <c r="J211" s="175">
        <f t="shared" si="35"/>
        <v>3892</v>
      </c>
      <c r="K211" s="175">
        <f t="shared" si="36"/>
        <v>0</v>
      </c>
      <c r="L211" s="75">
        <f t="shared" si="37"/>
        <v>0</v>
      </c>
      <c r="N211" s="194">
        <v>3160</v>
      </c>
      <c r="O211" s="217">
        <v>3617</v>
      </c>
      <c r="P211" s="198">
        <v>375</v>
      </c>
      <c r="R211" s="182">
        <v>2887</v>
      </c>
      <c r="S211" s="182">
        <f t="shared" si="40"/>
        <v>0.79817528338401988</v>
      </c>
    </row>
    <row r="212" spans="1:19" customFormat="1" ht="16.5" outlineLevel="1" thickBot="1" x14ac:dyDescent="0.25">
      <c r="A212" s="25" t="s">
        <v>1977</v>
      </c>
      <c r="B212" s="181" t="s">
        <v>3594</v>
      </c>
      <c r="C212" s="94" t="s">
        <v>549</v>
      </c>
      <c r="D212" s="123">
        <f t="shared" si="38"/>
        <v>4466.666666666667</v>
      </c>
      <c r="E212" s="123">
        <f t="shared" si="39"/>
        <v>893.33333333333348</v>
      </c>
      <c r="F212" s="123">
        <v>5360</v>
      </c>
      <c r="G212" s="75">
        <v>5360</v>
      </c>
      <c r="H212" s="75">
        <v>4466.67</v>
      </c>
      <c r="I212" s="75">
        <v>893.33</v>
      </c>
      <c r="J212" s="175">
        <f t="shared" si="35"/>
        <v>5360</v>
      </c>
      <c r="K212" s="175">
        <f t="shared" si="36"/>
        <v>0</v>
      </c>
      <c r="L212" s="75">
        <f t="shared" si="37"/>
        <v>0</v>
      </c>
      <c r="N212" s="194">
        <v>4515</v>
      </c>
      <c r="O212" s="217">
        <v>5085</v>
      </c>
      <c r="P212" s="198">
        <v>375</v>
      </c>
      <c r="R212" s="182">
        <v>4125</v>
      </c>
      <c r="S212" s="182">
        <f t="shared" si="40"/>
        <v>0.8112094395280236</v>
      </c>
    </row>
    <row r="213" spans="1:19" customFormat="1" ht="16.5" outlineLevel="1" thickBot="1" x14ac:dyDescent="0.25">
      <c r="A213" s="25" t="s">
        <v>1978</v>
      </c>
      <c r="B213" s="181" t="s">
        <v>3651</v>
      </c>
      <c r="C213" s="94" t="s">
        <v>549</v>
      </c>
      <c r="D213" s="123">
        <f t="shared" si="38"/>
        <v>5499.166666666667</v>
      </c>
      <c r="E213" s="123">
        <f t="shared" si="39"/>
        <v>1099.8333333333335</v>
      </c>
      <c r="F213" s="123">
        <v>6599</v>
      </c>
      <c r="G213" s="75">
        <v>6599</v>
      </c>
      <c r="H213" s="75">
        <v>5499.17</v>
      </c>
      <c r="I213" s="75">
        <v>1099.83</v>
      </c>
      <c r="J213" s="175">
        <f t="shared" si="35"/>
        <v>6599</v>
      </c>
      <c r="K213" s="175">
        <f t="shared" si="36"/>
        <v>0</v>
      </c>
      <c r="L213" s="75">
        <f t="shared" si="37"/>
        <v>0</v>
      </c>
      <c r="N213" s="194">
        <v>5570</v>
      </c>
      <c r="O213" s="217">
        <v>6324</v>
      </c>
      <c r="P213" s="198">
        <v>375</v>
      </c>
      <c r="R213" s="182">
        <v>4058</v>
      </c>
      <c r="S213" s="182">
        <f t="shared" si="40"/>
        <v>0.6416824794433903</v>
      </c>
    </row>
    <row r="214" spans="1:19" s="83" customFormat="1" ht="19.5" thickBot="1" x14ac:dyDescent="0.25">
      <c r="A214" s="407" t="s">
        <v>1918</v>
      </c>
      <c r="B214" s="452"/>
      <c r="C214" s="452"/>
      <c r="D214" s="452"/>
      <c r="E214" s="452"/>
      <c r="F214" s="409"/>
      <c r="G214" s="75"/>
      <c r="H214" s="75"/>
      <c r="I214" s="75"/>
      <c r="J214" s="175"/>
      <c r="K214" s="175"/>
      <c r="L214" s="75"/>
      <c r="P214" s="198"/>
      <c r="S214" s="182"/>
    </row>
    <row r="215" spans="1:19" customFormat="1" ht="27.75" customHeight="1" outlineLevel="1" thickBot="1" x14ac:dyDescent="0.25">
      <c r="A215" s="25" t="s">
        <v>359</v>
      </c>
      <c r="B215" s="181" t="s">
        <v>3654</v>
      </c>
      <c r="C215" s="94" t="s">
        <v>549</v>
      </c>
      <c r="D215" s="123">
        <f t="shared" ref="D215" si="41">F215/1.2</f>
        <v>1931.6666666666667</v>
      </c>
      <c r="E215" s="123">
        <f t="shared" si="39"/>
        <v>386.33333333333337</v>
      </c>
      <c r="F215" s="123">
        <v>2318</v>
      </c>
      <c r="G215" s="75">
        <v>2318</v>
      </c>
      <c r="H215" s="75">
        <v>1931.67</v>
      </c>
      <c r="I215" s="75">
        <v>386.33</v>
      </c>
      <c r="J215" s="175">
        <f t="shared" si="35"/>
        <v>2318</v>
      </c>
      <c r="K215" s="175">
        <f t="shared" si="36"/>
        <v>0</v>
      </c>
      <c r="L215" s="75">
        <f t="shared" si="37"/>
        <v>0</v>
      </c>
      <c r="N215" s="194">
        <v>1805</v>
      </c>
      <c r="O215" s="217">
        <v>2043</v>
      </c>
      <c r="P215" s="198">
        <v>375</v>
      </c>
      <c r="R215" s="182">
        <v>1650</v>
      </c>
      <c r="S215" s="182">
        <f t="shared" si="40"/>
        <v>0.80763582966226133</v>
      </c>
    </row>
    <row r="216" spans="1:19" s="83" customFormat="1" ht="18.75" x14ac:dyDescent="0.2">
      <c r="A216" s="407" t="s">
        <v>1919</v>
      </c>
      <c r="B216" s="452"/>
      <c r="C216" s="452"/>
      <c r="D216" s="452"/>
      <c r="E216" s="452"/>
      <c r="F216" s="409"/>
      <c r="G216" s="75"/>
      <c r="H216" s="75"/>
      <c r="I216" s="75"/>
      <c r="J216" s="175"/>
      <c r="K216" s="175"/>
      <c r="L216" s="75"/>
      <c r="P216" s="198">
        <v>375</v>
      </c>
      <c r="S216" s="182"/>
    </row>
    <row r="217" spans="1:19" customFormat="1" ht="31.5" outlineLevel="1" x14ac:dyDescent="0.2">
      <c r="A217" s="25" t="s">
        <v>431</v>
      </c>
      <c r="B217" s="181" t="s">
        <v>1626</v>
      </c>
      <c r="C217" s="94" t="s">
        <v>549</v>
      </c>
      <c r="D217" s="123">
        <f t="shared" ref="D217:D228" si="42">F217/1.2</f>
        <v>1655</v>
      </c>
      <c r="E217" s="123">
        <f t="shared" si="39"/>
        <v>331</v>
      </c>
      <c r="F217" s="123">
        <v>1986</v>
      </c>
      <c r="G217" s="75">
        <v>1986</v>
      </c>
      <c r="H217" s="75">
        <v>1655</v>
      </c>
      <c r="I217" s="75">
        <v>331</v>
      </c>
      <c r="J217" s="175">
        <f t="shared" si="35"/>
        <v>1986</v>
      </c>
      <c r="K217" s="175">
        <f t="shared" si="36"/>
        <v>0</v>
      </c>
      <c r="L217" s="75">
        <f t="shared" si="37"/>
        <v>0</v>
      </c>
      <c r="O217" s="217">
        <v>1711</v>
      </c>
      <c r="P217" s="198">
        <v>375</v>
      </c>
      <c r="R217" s="182">
        <v>1373</v>
      </c>
      <c r="S217" s="182">
        <f t="shared" si="40"/>
        <v>0.80245470485096437</v>
      </c>
    </row>
    <row r="218" spans="1:19" customFormat="1" ht="31.5" outlineLevel="1" x14ac:dyDescent="0.2">
      <c r="A218" s="25" t="s">
        <v>432</v>
      </c>
      <c r="B218" s="181" t="s">
        <v>1627</v>
      </c>
      <c r="C218" s="94" t="s">
        <v>549</v>
      </c>
      <c r="D218" s="123">
        <f t="shared" si="42"/>
        <v>2505.8333333333335</v>
      </c>
      <c r="E218" s="123">
        <f t="shared" si="39"/>
        <v>501.16666666666674</v>
      </c>
      <c r="F218" s="123">
        <v>3007</v>
      </c>
      <c r="G218" s="75">
        <v>3007</v>
      </c>
      <c r="H218" s="75">
        <v>2505.83</v>
      </c>
      <c r="I218" s="75">
        <v>501.17</v>
      </c>
      <c r="J218" s="175">
        <f t="shared" si="35"/>
        <v>3007</v>
      </c>
      <c r="K218" s="175">
        <f t="shared" si="36"/>
        <v>0</v>
      </c>
      <c r="L218" s="75">
        <f t="shared" si="37"/>
        <v>0</v>
      </c>
      <c r="O218" s="217">
        <v>2732</v>
      </c>
      <c r="P218" s="198">
        <v>375</v>
      </c>
      <c r="R218" s="95">
        <v>2198</v>
      </c>
      <c r="S218" s="182">
        <f t="shared" si="40"/>
        <v>0.80453879941434847</v>
      </c>
    </row>
    <row r="219" spans="1:19" customFormat="1" ht="31.5" outlineLevel="1" x14ac:dyDescent="0.2">
      <c r="A219" s="25" t="s">
        <v>1399</v>
      </c>
      <c r="B219" s="181" t="s">
        <v>1628</v>
      </c>
      <c r="C219" s="94" t="s">
        <v>549</v>
      </c>
      <c r="D219" s="123">
        <f t="shared" si="42"/>
        <v>1633.3333333333335</v>
      </c>
      <c r="E219" s="123">
        <f t="shared" si="39"/>
        <v>326.66666666666674</v>
      </c>
      <c r="F219" s="123">
        <v>1960</v>
      </c>
      <c r="G219" s="75">
        <v>1960</v>
      </c>
      <c r="H219" s="75">
        <v>1633.33</v>
      </c>
      <c r="I219" s="75">
        <v>326.67</v>
      </c>
      <c r="J219" s="175">
        <f t="shared" si="35"/>
        <v>1960</v>
      </c>
      <c r="K219" s="175">
        <f t="shared" si="36"/>
        <v>0</v>
      </c>
      <c r="L219" s="75">
        <f t="shared" si="37"/>
        <v>0</v>
      </c>
      <c r="O219" s="217">
        <v>1685</v>
      </c>
      <c r="P219" s="198">
        <v>375</v>
      </c>
      <c r="R219" s="182">
        <v>1373</v>
      </c>
      <c r="S219" s="182">
        <f t="shared" si="40"/>
        <v>0.81483679525222552</v>
      </c>
    </row>
    <row r="220" spans="1:19" customFormat="1" ht="78.75" outlineLevel="1" x14ac:dyDescent="0.2">
      <c r="A220" s="25" t="s">
        <v>1400</v>
      </c>
      <c r="B220" s="181" t="s">
        <v>1629</v>
      </c>
      <c r="C220" s="94" t="s">
        <v>549</v>
      </c>
      <c r="D220" s="123">
        <f t="shared" si="42"/>
        <v>1590</v>
      </c>
      <c r="E220" s="123">
        <f t="shared" si="39"/>
        <v>318</v>
      </c>
      <c r="F220" s="123">
        <v>1908</v>
      </c>
      <c r="G220" s="75">
        <v>1908</v>
      </c>
      <c r="H220" s="75">
        <v>1590</v>
      </c>
      <c r="I220" s="75">
        <v>318</v>
      </c>
      <c r="J220" s="175">
        <f t="shared" si="35"/>
        <v>1908</v>
      </c>
      <c r="K220" s="175">
        <f t="shared" si="36"/>
        <v>0</v>
      </c>
      <c r="L220" s="75">
        <f t="shared" si="37"/>
        <v>0</v>
      </c>
      <c r="O220" s="217">
        <v>1633</v>
      </c>
      <c r="P220" s="198">
        <v>375</v>
      </c>
      <c r="R220" s="95">
        <v>1311</v>
      </c>
      <c r="S220" s="182">
        <f t="shared" si="40"/>
        <v>0.80281690140845074</v>
      </c>
    </row>
    <row r="221" spans="1:19" customFormat="1" ht="94.5" outlineLevel="1" x14ac:dyDescent="0.2">
      <c r="A221" s="25" t="s">
        <v>1401</v>
      </c>
      <c r="B221" s="181" t="s">
        <v>3655</v>
      </c>
      <c r="C221" s="94" t="s">
        <v>549</v>
      </c>
      <c r="D221" s="123">
        <f t="shared" si="42"/>
        <v>1590</v>
      </c>
      <c r="E221" s="123">
        <f t="shared" si="39"/>
        <v>318</v>
      </c>
      <c r="F221" s="123">
        <v>1908</v>
      </c>
      <c r="G221" s="75">
        <v>1908</v>
      </c>
      <c r="H221" s="75">
        <v>1590</v>
      </c>
      <c r="I221" s="75">
        <v>318</v>
      </c>
      <c r="J221" s="175">
        <f t="shared" si="35"/>
        <v>1908</v>
      </c>
      <c r="K221" s="175">
        <f t="shared" si="36"/>
        <v>0</v>
      </c>
      <c r="L221" s="75">
        <f t="shared" si="37"/>
        <v>0</v>
      </c>
      <c r="O221" s="217">
        <v>1633</v>
      </c>
      <c r="P221" s="198">
        <v>375</v>
      </c>
      <c r="R221" s="182">
        <v>1311</v>
      </c>
      <c r="S221" s="182">
        <f t="shared" si="40"/>
        <v>0.80281690140845074</v>
      </c>
    </row>
    <row r="222" spans="1:19" customFormat="1" ht="32.25" outlineLevel="1" thickBot="1" x14ac:dyDescent="0.25">
      <c r="A222" s="25" t="s">
        <v>1402</v>
      </c>
      <c r="B222" s="181" t="s">
        <v>3656</v>
      </c>
      <c r="C222" s="94" t="s">
        <v>549</v>
      </c>
      <c r="D222" s="123">
        <f t="shared" si="42"/>
        <v>1590</v>
      </c>
      <c r="E222" s="123">
        <f t="shared" si="39"/>
        <v>318</v>
      </c>
      <c r="F222" s="123">
        <v>1908</v>
      </c>
      <c r="G222" s="75">
        <v>1908</v>
      </c>
      <c r="H222" s="75">
        <v>1590</v>
      </c>
      <c r="I222" s="75">
        <v>318</v>
      </c>
      <c r="J222" s="175">
        <f t="shared" si="35"/>
        <v>1908</v>
      </c>
      <c r="K222" s="175">
        <f t="shared" si="36"/>
        <v>0</v>
      </c>
      <c r="L222" s="75">
        <f t="shared" si="37"/>
        <v>0</v>
      </c>
      <c r="O222" s="217">
        <v>1633</v>
      </c>
      <c r="P222" s="198">
        <v>375</v>
      </c>
      <c r="R222" s="182">
        <v>1311</v>
      </c>
      <c r="S222" s="182">
        <f t="shared" si="40"/>
        <v>0.80281690140845074</v>
      </c>
    </row>
    <row r="223" spans="1:19" customFormat="1" ht="16.5" outlineLevel="1" thickBot="1" x14ac:dyDescent="0.25">
      <c r="A223" s="25" t="s">
        <v>1979</v>
      </c>
      <c r="B223" s="181" t="s">
        <v>1834</v>
      </c>
      <c r="C223" s="94" t="s">
        <v>549</v>
      </c>
      <c r="D223" s="123">
        <f t="shared" si="42"/>
        <v>1775.8333333333335</v>
      </c>
      <c r="E223" s="123">
        <f t="shared" si="39"/>
        <v>355.16666666666674</v>
      </c>
      <c r="F223" s="123">
        <v>2131</v>
      </c>
      <c r="G223" s="75">
        <v>2131</v>
      </c>
      <c r="H223" s="75">
        <v>1775.83</v>
      </c>
      <c r="I223" s="75">
        <v>355.17</v>
      </c>
      <c r="J223" s="175">
        <f t="shared" si="35"/>
        <v>2131</v>
      </c>
      <c r="K223" s="175">
        <f t="shared" si="36"/>
        <v>0</v>
      </c>
      <c r="L223" s="75">
        <f t="shared" si="37"/>
        <v>0</v>
      </c>
      <c r="N223" s="194">
        <v>1560</v>
      </c>
      <c r="O223" s="217">
        <v>1856</v>
      </c>
      <c r="P223" s="198">
        <v>375</v>
      </c>
      <c r="R223" s="182">
        <v>1458</v>
      </c>
      <c r="S223" s="182">
        <f t="shared" si="40"/>
        <v>0.78556034482758619</v>
      </c>
    </row>
    <row r="224" spans="1:19" customFormat="1" ht="16.5" outlineLevel="1" thickBot="1" x14ac:dyDescent="0.25">
      <c r="A224" s="25" t="s">
        <v>1980</v>
      </c>
      <c r="B224" s="181" t="s">
        <v>1835</v>
      </c>
      <c r="C224" s="94" t="s">
        <v>549</v>
      </c>
      <c r="D224" s="123">
        <f t="shared" si="42"/>
        <v>1931.6666666666667</v>
      </c>
      <c r="E224" s="123">
        <f t="shared" si="39"/>
        <v>386.33333333333337</v>
      </c>
      <c r="F224" s="123">
        <v>2318</v>
      </c>
      <c r="G224" s="75">
        <v>2318</v>
      </c>
      <c r="H224" s="75">
        <v>1931.67</v>
      </c>
      <c r="I224" s="75">
        <v>386.33</v>
      </c>
      <c r="J224" s="175">
        <f t="shared" si="35"/>
        <v>2318</v>
      </c>
      <c r="K224" s="175">
        <f t="shared" si="36"/>
        <v>0</v>
      </c>
      <c r="L224" s="75">
        <f t="shared" si="37"/>
        <v>0</v>
      </c>
      <c r="N224" s="194">
        <v>1805</v>
      </c>
      <c r="O224" s="217">
        <v>2043</v>
      </c>
      <c r="P224" s="198">
        <v>375</v>
      </c>
      <c r="R224" s="182">
        <v>1650</v>
      </c>
      <c r="S224" s="182">
        <f t="shared" si="40"/>
        <v>0.80763582966226133</v>
      </c>
    </row>
    <row r="225" spans="1:19" customFormat="1" ht="48" outlineLevel="1" thickBot="1" x14ac:dyDescent="0.25">
      <c r="A225" s="25" t="s">
        <v>1981</v>
      </c>
      <c r="B225" s="181" t="s">
        <v>3657</v>
      </c>
      <c r="C225" s="94" t="s">
        <v>549</v>
      </c>
      <c r="D225" s="123">
        <f t="shared" si="42"/>
        <v>1775.8333333333335</v>
      </c>
      <c r="E225" s="123">
        <f t="shared" si="39"/>
        <v>355.16666666666674</v>
      </c>
      <c r="F225" s="123">
        <v>2131</v>
      </c>
      <c r="G225" s="75">
        <v>2131</v>
      </c>
      <c r="H225" s="75">
        <v>1775.83</v>
      </c>
      <c r="I225" s="75">
        <v>355.17</v>
      </c>
      <c r="J225" s="175">
        <f t="shared" si="35"/>
        <v>2131</v>
      </c>
      <c r="K225" s="175">
        <f t="shared" si="36"/>
        <v>0</v>
      </c>
      <c r="L225" s="75">
        <f t="shared" si="37"/>
        <v>0</v>
      </c>
      <c r="N225" s="194">
        <v>1560</v>
      </c>
      <c r="O225" s="217">
        <v>1856</v>
      </c>
      <c r="P225" s="198">
        <v>375</v>
      </c>
      <c r="R225" s="182">
        <v>1458</v>
      </c>
      <c r="S225" s="182">
        <f t="shared" si="40"/>
        <v>0.78556034482758619</v>
      </c>
    </row>
    <row r="226" spans="1:19" customFormat="1" ht="32.25" outlineLevel="1" thickBot="1" x14ac:dyDescent="0.25">
      <c r="A226" s="25" t="s">
        <v>1982</v>
      </c>
      <c r="B226" s="181" t="s">
        <v>1837</v>
      </c>
      <c r="C226" s="94" t="s">
        <v>549</v>
      </c>
      <c r="D226" s="123">
        <f t="shared" si="42"/>
        <v>1931.6666666666667</v>
      </c>
      <c r="E226" s="123">
        <f t="shared" si="39"/>
        <v>386.33333333333337</v>
      </c>
      <c r="F226" s="123">
        <v>2318</v>
      </c>
      <c r="G226" s="75">
        <v>2318</v>
      </c>
      <c r="H226" s="75">
        <v>1931.67</v>
      </c>
      <c r="I226" s="75">
        <v>386.33</v>
      </c>
      <c r="J226" s="175">
        <f t="shared" si="35"/>
        <v>2318</v>
      </c>
      <c r="K226" s="175">
        <f t="shared" si="36"/>
        <v>0</v>
      </c>
      <c r="L226" s="75">
        <f t="shared" si="37"/>
        <v>0</v>
      </c>
      <c r="N226" s="194">
        <v>1805</v>
      </c>
      <c r="O226" s="217">
        <v>2043</v>
      </c>
      <c r="P226" s="198">
        <v>375</v>
      </c>
      <c r="R226" s="182">
        <v>1650</v>
      </c>
      <c r="S226" s="182">
        <f t="shared" si="40"/>
        <v>0.80763582966226133</v>
      </c>
    </row>
    <row r="227" spans="1:19" customFormat="1" ht="126.75" outlineLevel="1" thickBot="1" x14ac:dyDescent="0.25">
      <c r="A227" s="25" t="s">
        <v>1983</v>
      </c>
      <c r="B227" s="181" t="s">
        <v>3658</v>
      </c>
      <c r="C227" s="94" t="s">
        <v>549</v>
      </c>
      <c r="D227" s="123">
        <f t="shared" si="42"/>
        <v>1590</v>
      </c>
      <c r="E227" s="123">
        <f t="shared" si="39"/>
        <v>318</v>
      </c>
      <c r="F227" s="123">
        <v>1908</v>
      </c>
      <c r="G227" s="75">
        <v>1908</v>
      </c>
      <c r="H227" s="75">
        <v>1590</v>
      </c>
      <c r="I227" s="75">
        <v>318</v>
      </c>
      <c r="J227" s="175">
        <f t="shared" si="35"/>
        <v>1908</v>
      </c>
      <c r="K227" s="175">
        <f t="shared" si="36"/>
        <v>0</v>
      </c>
      <c r="L227" s="75">
        <f t="shared" si="37"/>
        <v>0</v>
      </c>
      <c r="N227" s="194">
        <v>1430</v>
      </c>
      <c r="O227" s="217">
        <v>1633</v>
      </c>
      <c r="P227" s="198">
        <v>375</v>
      </c>
      <c r="R227" s="182">
        <v>1311</v>
      </c>
      <c r="S227" s="182">
        <f t="shared" si="40"/>
        <v>0.80281690140845074</v>
      </c>
    </row>
    <row r="228" spans="1:19" customFormat="1" ht="16.5" outlineLevel="1" thickBot="1" x14ac:dyDescent="0.25">
      <c r="A228" s="25" t="s">
        <v>1984</v>
      </c>
      <c r="B228" s="181" t="s">
        <v>1836</v>
      </c>
      <c r="C228" s="94" t="s">
        <v>549</v>
      </c>
      <c r="D228" s="123">
        <f t="shared" si="42"/>
        <v>1923.3333333333335</v>
      </c>
      <c r="E228" s="123">
        <f t="shared" si="39"/>
        <v>384.66666666666674</v>
      </c>
      <c r="F228" s="123">
        <v>2308</v>
      </c>
      <c r="G228" s="75">
        <v>2308</v>
      </c>
      <c r="H228" s="75">
        <v>1923.33</v>
      </c>
      <c r="I228" s="75">
        <v>384.67</v>
      </c>
      <c r="J228" s="175">
        <f t="shared" si="35"/>
        <v>2308</v>
      </c>
      <c r="K228" s="175">
        <f t="shared" si="36"/>
        <v>0</v>
      </c>
      <c r="L228" s="75">
        <f t="shared" si="37"/>
        <v>0</v>
      </c>
      <c r="N228" s="194">
        <v>1690</v>
      </c>
      <c r="O228" s="217">
        <v>2033</v>
      </c>
      <c r="P228" s="198">
        <v>375</v>
      </c>
      <c r="R228" s="182">
        <v>1595</v>
      </c>
      <c r="S228" s="182">
        <f t="shared" si="40"/>
        <v>0.7845548450565667</v>
      </c>
    </row>
    <row r="229" spans="1:19" s="83" customFormat="1" ht="18.75" x14ac:dyDescent="0.2">
      <c r="A229" s="407" t="s">
        <v>1920</v>
      </c>
      <c r="B229" s="452"/>
      <c r="C229" s="452"/>
      <c r="D229" s="452"/>
      <c r="E229" s="452"/>
      <c r="F229" s="409"/>
      <c r="G229" s="75"/>
      <c r="H229" s="75"/>
      <c r="I229" s="75"/>
      <c r="J229" s="175"/>
      <c r="K229" s="175"/>
      <c r="L229" s="75"/>
      <c r="P229" s="198"/>
      <c r="S229" s="182"/>
    </row>
    <row r="230" spans="1:19" customFormat="1" ht="31.5" outlineLevel="1" x14ac:dyDescent="0.2">
      <c r="A230" s="25" t="s">
        <v>441</v>
      </c>
      <c r="B230" s="181" t="s">
        <v>1630</v>
      </c>
      <c r="C230" s="94" t="s">
        <v>549</v>
      </c>
      <c r="D230" s="123">
        <f t="shared" ref="D230" si="43">F230/1.2</f>
        <v>1560.8333333333335</v>
      </c>
      <c r="E230" s="123">
        <f t="shared" si="39"/>
        <v>312.16666666666674</v>
      </c>
      <c r="F230" s="123">
        <v>1873</v>
      </c>
      <c r="G230" s="75">
        <v>1873</v>
      </c>
      <c r="H230" s="75">
        <v>1560.83</v>
      </c>
      <c r="I230" s="75">
        <v>312.17</v>
      </c>
      <c r="J230" s="175">
        <f t="shared" si="35"/>
        <v>1873</v>
      </c>
      <c r="K230" s="175">
        <f t="shared" si="36"/>
        <v>0</v>
      </c>
      <c r="L230" s="75">
        <f t="shared" si="37"/>
        <v>0</v>
      </c>
      <c r="O230" s="217">
        <v>1598</v>
      </c>
      <c r="P230" s="198">
        <v>375</v>
      </c>
      <c r="R230" s="182">
        <v>1373</v>
      </c>
      <c r="S230" s="182">
        <f t="shared" si="40"/>
        <v>0.85919899874843553</v>
      </c>
    </row>
    <row r="231" spans="1:19" s="83" customFormat="1" ht="18.75" x14ac:dyDescent="0.2">
      <c r="A231" s="407" t="s">
        <v>1921</v>
      </c>
      <c r="B231" s="452"/>
      <c r="C231" s="452"/>
      <c r="D231" s="452"/>
      <c r="E231" s="452"/>
      <c r="F231" s="409"/>
      <c r="G231" s="75"/>
      <c r="H231" s="75"/>
      <c r="I231" s="75"/>
      <c r="J231" s="175"/>
      <c r="K231" s="175"/>
      <c r="L231" s="75"/>
      <c r="P231" s="198"/>
      <c r="S231" s="182"/>
    </row>
    <row r="232" spans="1:19" customFormat="1" ht="63" outlineLevel="1" x14ac:dyDescent="0.2">
      <c r="A232" s="25" t="s">
        <v>1985</v>
      </c>
      <c r="B232" s="181" t="s">
        <v>1631</v>
      </c>
      <c r="C232" s="94" t="s">
        <v>549</v>
      </c>
      <c r="D232" s="123">
        <f t="shared" ref="D232:D240" si="44">F232/1.2</f>
        <v>4168.3333333333339</v>
      </c>
      <c r="E232" s="123">
        <f t="shared" si="39"/>
        <v>833.66666666666686</v>
      </c>
      <c r="F232" s="123">
        <v>5002</v>
      </c>
      <c r="G232" s="75">
        <v>5002</v>
      </c>
      <c r="H232" s="75">
        <v>4168.33</v>
      </c>
      <c r="I232" s="75">
        <v>833.67</v>
      </c>
      <c r="J232" s="175">
        <f t="shared" si="35"/>
        <v>5002</v>
      </c>
      <c r="K232" s="175">
        <f t="shared" si="36"/>
        <v>0</v>
      </c>
      <c r="L232" s="75">
        <f t="shared" si="37"/>
        <v>0</v>
      </c>
      <c r="O232" s="217">
        <v>4727</v>
      </c>
      <c r="P232" s="198">
        <v>375</v>
      </c>
      <c r="R232" s="182">
        <v>4502</v>
      </c>
      <c r="S232" s="182">
        <f t="shared" si="40"/>
        <v>0.95240110006346523</v>
      </c>
    </row>
    <row r="233" spans="1:19" customFormat="1" ht="63.75" outlineLevel="1" thickBot="1" x14ac:dyDescent="0.25">
      <c r="A233" s="25" t="s">
        <v>1986</v>
      </c>
      <c r="B233" s="181" t="s">
        <v>1632</v>
      </c>
      <c r="C233" s="94" t="s">
        <v>549</v>
      </c>
      <c r="D233" s="123">
        <f t="shared" si="44"/>
        <v>4977.5</v>
      </c>
      <c r="E233" s="123">
        <f t="shared" si="39"/>
        <v>995.5</v>
      </c>
      <c r="F233" s="123">
        <v>5973</v>
      </c>
      <c r="G233" s="75">
        <v>5973</v>
      </c>
      <c r="H233" s="75">
        <v>4977.5</v>
      </c>
      <c r="I233" s="75">
        <v>995.5</v>
      </c>
      <c r="J233" s="175">
        <f t="shared" si="35"/>
        <v>5973</v>
      </c>
      <c r="K233" s="175">
        <f t="shared" si="36"/>
        <v>0</v>
      </c>
      <c r="L233" s="75">
        <f t="shared" si="37"/>
        <v>0</v>
      </c>
      <c r="O233" s="217">
        <v>5698</v>
      </c>
      <c r="P233" s="198">
        <v>375</v>
      </c>
      <c r="R233" s="182">
        <v>5427</v>
      </c>
      <c r="S233" s="182">
        <f t="shared" si="40"/>
        <v>0.95243945243945249</v>
      </c>
    </row>
    <row r="234" spans="1:19" customFormat="1" ht="32.25" outlineLevel="1" thickBot="1" x14ac:dyDescent="0.25">
      <c r="A234" s="25" t="s">
        <v>1987</v>
      </c>
      <c r="B234" s="181" t="s">
        <v>3659</v>
      </c>
      <c r="C234" s="94" t="s">
        <v>549</v>
      </c>
      <c r="D234" s="123">
        <f t="shared" si="44"/>
        <v>4080</v>
      </c>
      <c r="E234" s="123">
        <f t="shared" si="39"/>
        <v>816</v>
      </c>
      <c r="F234" s="123">
        <v>4896</v>
      </c>
      <c r="G234" s="75">
        <v>4896</v>
      </c>
      <c r="H234" s="75">
        <v>4080</v>
      </c>
      <c r="I234" s="75">
        <v>816</v>
      </c>
      <c r="J234" s="175">
        <f t="shared" si="35"/>
        <v>4896</v>
      </c>
      <c r="K234" s="175">
        <f t="shared" si="36"/>
        <v>0</v>
      </c>
      <c r="L234" s="75">
        <f t="shared" si="37"/>
        <v>0</v>
      </c>
      <c r="N234" s="194">
        <v>3915</v>
      </c>
      <c r="O234" s="217">
        <v>4621</v>
      </c>
      <c r="P234" s="198">
        <v>375</v>
      </c>
      <c r="R234" s="182">
        <v>4401</v>
      </c>
      <c r="S234" s="182">
        <f t="shared" si="40"/>
        <v>0.95239125730361396</v>
      </c>
    </row>
    <row r="235" spans="1:19" customFormat="1" ht="32.25" outlineLevel="1" thickBot="1" x14ac:dyDescent="0.25">
      <c r="A235" s="25" t="s">
        <v>1988</v>
      </c>
      <c r="B235" s="181" t="s">
        <v>3660</v>
      </c>
      <c r="C235" s="94" t="s">
        <v>549</v>
      </c>
      <c r="D235" s="123">
        <f t="shared" si="44"/>
        <v>3226.666666666667</v>
      </c>
      <c r="E235" s="123">
        <f t="shared" si="39"/>
        <v>645.33333333333348</v>
      </c>
      <c r="F235" s="123">
        <v>3872</v>
      </c>
      <c r="G235" s="75">
        <v>3872</v>
      </c>
      <c r="H235" s="75">
        <v>3226.67</v>
      </c>
      <c r="I235" s="75">
        <v>645.33000000000004</v>
      </c>
      <c r="J235" s="175">
        <f t="shared" si="35"/>
        <v>3872</v>
      </c>
      <c r="K235" s="175">
        <f t="shared" si="36"/>
        <v>0</v>
      </c>
      <c r="L235" s="75">
        <f t="shared" si="37"/>
        <v>0</v>
      </c>
      <c r="N235" s="194">
        <v>3535</v>
      </c>
      <c r="O235" s="217">
        <v>3597</v>
      </c>
      <c r="P235" s="198">
        <v>375</v>
      </c>
      <c r="R235" s="182">
        <v>3426</v>
      </c>
      <c r="S235" s="182">
        <f t="shared" si="40"/>
        <v>0.9524603836530442</v>
      </c>
    </row>
    <row r="236" spans="1:19" customFormat="1" ht="32.25" outlineLevel="1" thickBot="1" x14ac:dyDescent="0.25">
      <c r="A236" s="25" t="s">
        <v>1989</v>
      </c>
      <c r="B236" s="181" t="s">
        <v>1838</v>
      </c>
      <c r="C236" s="94" t="s">
        <v>549</v>
      </c>
      <c r="D236" s="123">
        <f t="shared" si="44"/>
        <v>4405</v>
      </c>
      <c r="E236" s="123">
        <f t="shared" si="39"/>
        <v>881</v>
      </c>
      <c r="F236" s="123">
        <v>5286</v>
      </c>
      <c r="G236" s="75">
        <v>5286</v>
      </c>
      <c r="H236" s="75">
        <v>4405</v>
      </c>
      <c r="I236" s="75">
        <v>881</v>
      </c>
      <c r="J236" s="175">
        <f t="shared" si="35"/>
        <v>5286</v>
      </c>
      <c r="K236" s="175">
        <f t="shared" si="36"/>
        <v>0</v>
      </c>
      <c r="L236" s="75">
        <f t="shared" si="37"/>
        <v>0</v>
      </c>
      <c r="N236" s="194">
        <v>3640</v>
      </c>
      <c r="O236" s="217">
        <v>5011</v>
      </c>
      <c r="P236" s="198">
        <v>375</v>
      </c>
      <c r="R236" s="182">
        <v>4772</v>
      </c>
      <c r="S236" s="182">
        <f t="shared" si="40"/>
        <v>0.95230492915585707</v>
      </c>
    </row>
    <row r="237" spans="1:19" customFormat="1" ht="32.25" outlineLevel="1" thickBot="1" x14ac:dyDescent="0.25">
      <c r="A237" s="25" t="s">
        <v>1990</v>
      </c>
      <c r="B237" s="181" t="s">
        <v>1839</v>
      </c>
      <c r="C237" s="94" t="s">
        <v>549</v>
      </c>
      <c r="D237" s="123">
        <f t="shared" si="44"/>
        <v>4926.666666666667</v>
      </c>
      <c r="E237" s="123">
        <f t="shared" si="39"/>
        <v>985.33333333333348</v>
      </c>
      <c r="F237" s="123">
        <v>5912</v>
      </c>
      <c r="G237" s="75">
        <v>5912</v>
      </c>
      <c r="H237" s="75">
        <v>4926.67</v>
      </c>
      <c r="I237" s="75">
        <v>985.33</v>
      </c>
      <c r="J237" s="175">
        <f t="shared" si="35"/>
        <v>5912</v>
      </c>
      <c r="K237" s="175">
        <f t="shared" si="36"/>
        <v>0</v>
      </c>
      <c r="L237" s="75">
        <f t="shared" si="37"/>
        <v>0</v>
      </c>
      <c r="N237" s="194">
        <v>4355</v>
      </c>
      <c r="O237" s="217">
        <v>5637</v>
      </c>
      <c r="P237" s="198">
        <v>375</v>
      </c>
      <c r="R237" s="182">
        <v>5368</v>
      </c>
      <c r="S237" s="182">
        <f t="shared" si="40"/>
        <v>0.95227958133759094</v>
      </c>
    </row>
    <row r="238" spans="1:19" customFormat="1" ht="32.25" outlineLevel="1" thickBot="1" x14ac:dyDescent="0.25">
      <c r="A238" s="25" t="s">
        <v>1991</v>
      </c>
      <c r="B238" s="181" t="s">
        <v>1840</v>
      </c>
      <c r="C238" s="94" t="s">
        <v>549</v>
      </c>
      <c r="D238" s="123">
        <f t="shared" si="44"/>
        <v>2814.166666666667</v>
      </c>
      <c r="E238" s="123">
        <f t="shared" si="39"/>
        <v>562.83333333333337</v>
      </c>
      <c r="F238" s="123">
        <v>3377</v>
      </c>
      <c r="G238" s="75">
        <v>3377</v>
      </c>
      <c r="H238" s="75">
        <v>2814.17</v>
      </c>
      <c r="I238" s="75">
        <v>562.83000000000004</v>
      </c>
      <c r="J238" s="175">
        <f t="shared" si="35"/>
        <v>3377</v>
      </c>
      <c r="K238" s="175">
        <f t="shared" si="36"/>
        <v>0</v>
      </c>
      <c r="L238" s="75">
        <f t="shared" si="37"/>
        <v>0</v>
      </c>
      <c r="N238" s="194">
        <v>2560</v>
      </c>
      <c r="O238" s="217">
        <v>3102</v>
      </c>
      <c r="P238" s="198">
        <v>375</v>
      </c>
      <c r="R238" s="182">
        <v>2955</v>
      </c>
      <c r="S238" s="182">
        <f t="shared" si="40"/>
        <v>0.95261121856866537</v>
      </c>
    </row>
    <row r="239" spans="1:19" customFormat="1" ht="32.25" outlineLevel="1" thickBot="1" x14ac:dyDescent="0.25">
      <c r="A239" s="25" t="s">
        <v>1992</v>
      </c>
      <c r="B239" s="181" t="s">
        <v>1841</v>
      </c>
      <c r="C239" s="94" t="s">
        <v>549</v>
      </c>
      <c r="D239" s="123">
        <f t="shared" si="44"/>
        <v>4080</v>
      </c>
      <c r="E239" s="123">
        <f t="shared" si="39"/>
        <v>816</v>
      </c>
      <c r="F239" s="123">
        <v>4896</v>
      </c>
      <c r="G239" s="75">
        <v>4896</v>
      </c>
      <c r="H239" s="75">
        <v>4080</v>
      </c>
      <c r="I239" s="75">
        <v>816</v>
      </c>
      <c r="J239" s="175">
        <f t="shared" si="35"/>
        <v>4896</v>
      </c>
      <c r="K239" s="175">
        <f t="shared" si="36"/>
        <v>0</v>
      </c>
      <c r="L239" s="75">
        <f t="shared" si="37"/>
        <v>0</v>
      </c>
      <c r="N239" s="194">
        <v>3915</v>
      </c>
      <c r="O239" s="217">
        <v>4621</v>
      </c>
      <c r="P239" s="198">
        <v>375</v>
      </c>
      <c r="R239" s="182">
        <v>4401</v>
      </c>
      <c r="S239" s="182">
        <f t="shared" si="40"/>
        <v>0.95239125730361396</v>
      </c>
    </row>
    <row r="240" spans="1:19" customFormat="1" ht="32.25" outlineLevel="1" thickBot="1" x14ac:dyDescent="0.25">
      <c r="A240" s="25" t="s">
        <v>1993</v>
      </c>
      <c r="B240" s="181" t="s">
        <v>1842</v>
      </c>
      <c r="C240" s="94" t="s">
        <v>549</v>
      </c>
      <c r="D240" s="123">
        <f t="shared" si="44"/>
        <v>5642.5</v>
      </c>
      <c r="E240" s="123">
        <f t="shared" si="39"/>
        <v>1128.5</v>
      </c>
      <c r="F240" s="255">
        <v>6771</v>
      </c>
      <c r="G240" s="75">
        <v>6771</v>
      </c>
      <c r="H240" s="75">
        <v>5642.5</v>
      </c>
      <c r="I240" s="75">
        <v>1128.5</v>
      </c>
      <c r="J240" s="175">
        <f t="shared" si="35"/>
        <v>6771</v>
      </c>
      <c r="K240" s="175">
        <f t="shared" si="36"/>
        <v>0</v>
      </c>
      <c r="L240" s="75">
        <f t="shared" si="37"/>
        <v>0</v>
      </c>
      <c r="N240" s="194">
        <v>4215</v>
      </c>
      <c r="O240" s="217">
        <v>6496</v>
      </c>
      <c r="P240" s="198">
        <v>375</v>
      </c>
      <c r="R240" s="182"/>
      <c r="S240" s="182">
        <f t="shared" si="40"/>
        <v>0</v>
      </c>
    </row>
    <row r="241" spans="1:19" s="83" customFormat="1" ht="18.75" x14ac:dyDescent="0.2">
      <c r="A241" s="407" t="s">
        <v>1922</v>
      </c>
      <c r="B241" s="452"/>
      <c r="C241" s="452"/>
      <c r="D241" s="452"/>
      <c r="E241" s="452"/>
      <c r="F241" s="409"/>
      <c r="G241" s="75"/>
      <c r="H241" s="75"/>
      <c r="I241" s="75"/>
      <c r="J241" s="175"/>
      <c r="K241" s="175"/>
      <c r="L241" s="75"/>
      <c r="P241" s="198"/>
      <c r="S241" s="182"/>
    </row>
    <row r="242" spans="1:19" customFormat="1" ht="31.5" outlineLevel="1" x14ac:dyDescent="0.2">
      <c r="A242" s="25" t="s">
        <v>1994</v>
      </c>
      <c r="B242" s="181" t="s">
        <v>1633</v>
      </c>
      <c r="C242" s="94" t="s">
        <v>549</v>
      </c>
      <c r="D242" s="123">
        <f t="shared" ref="D242:D243" si="45">F242/1.2</f>
        <v>1250</v>
      </c>
      <c r="E242" s="123">
        <f t="shared" si="39"/>
        <v>250</v>
      </c>
      <c r="F242" s="123">
        <f>P242+R242</f>
        <v>1500</v>
      </c>
      <c r="G242" s="75">
        <v>1175</v>
      </c>
      <c r="H242" s="75">
        <v>979.17</v>
      </c>
      <c r="I242" s="75">
        <v>195.83</v>
      </c>
      <c r="J242" s="175">
        <f t="shared" si="35"/>
        <v>1175</v>
      </c>
      <c r="K242" s="175">
        <f t="shared" si="36"/>
        <v>0</v>
      </c>
      <c r="L242" s="75">
        <f t="shared" si="37"/>
        <v>325</v>
      </c>
      <c r="O242" s="217">
        <v>900</v>
      </c>
      <c r="P242" s="198">
        <v>375</v>
      </c>
      <c r="R242" s="182">
        <v>1125</v>
      </c>
      <c r="S242" s="182">
        <f t="shared" si="40"/>
        <v>1.25</v>
      </c>
    </row>
    <row r="243" spans="1:19" customFormat="1" ht="31.5" outlineLevel="1" x14ac:dyDescent="0.2">
      <c r="A243" s="25" t="s">
        <v>1995</v>
      </c>
      <c r="B243" s="181" t="s">
        <v>1634</v>
      </c>
      <c r="C243" s="94" t="s">
        <v>549</v>
      </c>
      <c r="D243" s="123">
        <f t="shared" si="45"/>
        <v>1312.5</v>
      </c>
      <c r="E243" s="123">
        <f t="shared" si="39"/>
        <v>262.5</v>
      </c>
      <c r="F243" s="123">
        <f>P243+R243</f>
        <v>1575</v>
      </c>
      <c r="G243" s="75">
        <v>1325</v>
      </c>
      <c r="H243" s="75">
        <v>1104.17</v>
      </c>
      <c r="I243" s="75">
        <v>220.83</v>
      </c>
      <c r="J243" s="175">
        <f t="shared" si="35"/>
        <v>1325</v>
      </c>
      <c r="K243" s="175">
        <f t="shared" si="36"/>
        <v>0</v>
      </c>
      <c r="L243" s="75">
        <f t="shared" si="37"/>
        <v>250</v>
      </c>
      <c r="O243" s="217">
        <v>1050</v>
      </c>
      <c r="P243" s="198">
        <v>375</v>
      </c>
      <c r="R243" s="182">
        <v>1200</v>
      </c>
      <c r="S243" s="182">
        <f t="shared" si="40"/>
        <v>1.1428571428571428</v>
      </c>
    </row>
    <row r="244" spans="1:19" s="83" customFormat="1" ht="18.75" x14ac:dyDescent="0.2">
      <c r="A244" s="407" t="s">
        <v>1923</v>
      </c>
      <c r="B244" s="452"/>
      <c r="C244" s="452"/>
      <c r="D244" s="452"/>
      <c r="E244" s="452"/>
      <c r="F244" s="409"/>
      <c r="G244" s="75"/>
      <c r="H244" s="75"/>
      <c r="I244" s="75"/>
      <c r="J244" s="175"/>
      <c r="K244" s="175"/>
      <c r="L244" s="75"/>
      <c r="P244" s="198"/>
      <c r="S244" s="182"/>
    </row>
    <row r="245" spans="1:19" customFormat="1" ht="31.5" outlineLevel="1" x14ac:dyDescent="0.2">
      <c r="A245" s="25" t="s">
        <v>1996</v>
      </c>
      <c r="B245" s="181" t="s">
        <v>3661</v>
      </c>
      <c r="C245" s="94" t="s">
        <v>549</v>
      </c>
      <c r="D245" s="123">
        <f t="shared" ref="D245:D264" si="46">F245/1.2</f>
        <v>1895.8333333333335</v>
      </c>
      <c r="E245" s="123">
        <f t="shared" si="39"/>
        <v>379.16666666666674</v>
      </c>
      <c r="F245" s="123">
        <f>P245+R245</f>
        <v>2275</v>
      </c>
      <c r="G245" s="75">
        <v>2175</v>
      </c>
      <c r="H245" s="75">
        <v>1812.5</v>
      </c>
      <c r="I245" s="75">
        <v>362.5</v>
      </c>
      <c r="J245" s="175">
        <f t="shared" si="35"/>
        <v>2175</v>
      </c>
      <c r="K245" s="175">
        <f t="shared" si="36"/>
        <v>0</v>
      </c>
      <c r="L245" s="75">
        <f t="shared" si="37"/>
        <v>100</v>
      </c>
      <c r="O245" s="217">
        <v>1900</v>
      </c>
      <c r="P245" s="198">
        <v>375</v>
      </c>
      <c r="R245" s="182">
        <v>1900</v>
      </c>
      <c r="S245" s="182">
        <f t="shared" si="40"/>
        <v>1</v>
      </c>
    </row>
    <row r="246" spans="1:19" customFormat="1" ht="31.5" outlineLevel="1" x14ac:dyDescent="0.2">
      <c r="A246" s="25" t="s">
        <v>1997</v>
      </c>
      <c r="B246" s="181" t="s">
        <v>3662</v>
      </c>
      <c r="C246" s="94" t="s">
        <v>549</v>
      </c>
      <c r="D246" s="123">
        <f t="shared" si="46"/>
        <v>2526.666666666667</v>
      </c>
      <c r="E246" s="123">
        <f t="shared" si="39"/>
        <v>505.33333333333343</v>
      </c>
      <c r="F246" s="123">
        <f t="shared" ref="F246:F247" si="47">P246+R246</f>
        <v>3032</v>
      </c>
      <c r="G246" s="75">
        <v>2932</v>
      </c>
      <c r="H246" s="75">
        <v>2443.33</v>
      </c>
      <c r="I246" s="75">
        <v>488.67</v>
      </c>
      <c r="J246" s="175">
        <f t="shared" si="35"/>
        <v>2932</v>
      </c>
      <c r="K246" s="175">
        <f t="shared" si="36"/>
        <v>0</v>
      </c>
      <c r="L246" s="75">
        <f t="shared" si="37"/>
        <v>100</v>
      </c>
      <c r="O246" s="217">
        <v>2657</v>
      </c>
      <c r="P246" s="198">
        <v>375</v>
      </c>
      <c r="R246" s="182">
        <v>2657</v>
      </c>
      <c r="S246" s="182">
        <f t="shared" si="40"/>
        <v>1</v>
      </c>
    </row>
    <row r="247" spans="1:19" customFormat="1" ht="31.5" outlineLevel="1" x14ac:dyDescent="0.2">
      <c r="A247" s="25" t="s">
        <v>1998</v>
      </c>
      <c r="B247" s="181" t="s">
        <v>3663</v>
      </c>
      <c r="C247" s="94" t="s">
        <v>549</v>
      </c>
      <c r="D247" s="123">
        <f t="shared" si="46"/>
        <v>1937.5</v>
      </c>
      <c r="E247" s="123">
        <f t="shared" si="39"/>
        <v>387.5</v>
      </c>
      <c r="F247" s="123">
        <f t="shared" si="47"/>
        <v>2325</v>
      </c>
      <c r="G247" s="75">
        <v>2175</v>
      </c>
      <c r="H247" s="75">
        <v>1812.5</v>
      </c>
      <c r="I247" s="75">
        <v>362.5</v>
      </c>
      <c r="J247" s="175">
        <f t="shared" si="35"/>
        <v>2175</v>
      </c>
      <c r="K247" s="175">
        <f t="shared" si="36"/>
        <v>0</v>
      </c>
      <c r="L247" s="75">
        <f t="shared" si="37"/>
        <v>150</v>
      </c>
      <c r="O247" s="217">
        <v>1900</v>
      </c>
      <c r="P247" s="198">
        <v>375</v>
      </c>
      <c r="R247" s="182">
        <v>1950</v>
      </c>
      <c r="S247" s="182">
        <f t="shared" si="40"/>
        <v>1.0263157894736843</v>
      </c>
    </row>
    <row r="248" spans="1:19" customFormat="1" ht="47.25" outlineLevel="1" x14ac:dyDescent="0.2">
      <c r="A248" s="25" t="s">
        <v>1999</v>
      </c>
      <c r="B248" s="181" t="s">
        <v>3664</v>
      </c>
      <c r="C248" s="94" t="s">
        <v>549</v>
      </c>
      <c r="D248" s="123">
        <f t="shared" si="46"/>
        <v>5741.666666666667</v>
      </c>
      <c r="E248" s="123">
        <f t="shared" si="39"/>
        <v>1148.3333333333335</v>
      </c>
      <c r="F248" s="123">
        <v>6890</v>
      </c>
      <c r="G248" s="75">
        <v>6890</v>
      </c>
      <c r="H248" s="75">
        <v>5741.67</v>
      </c>
      <c r="I248" s="75">
        <v>1148.33</v>
      </c>
      <c r="J248" s="175">
        <f t="shared" si="35"/>
        <v>6890</v>
      </c>
      <c r="K248" s="175">
        <f t="shared" si="36"/>
        <v>0</v>
      </c>
      <c r="L248" s="75">
        <f t="shared" si="37"/>
        <v>0</v>
      </c>
      <c r="O248" s="217">
        <v>6615</v>
      </c>
      <c r="P248" s="198">
        <v>375</v>
      </c>
      <c r="R248" s="182">
        <v>6069</v>
      </c>
      <c r="S248" s="182">
        <f t="shared" si="40"/>
        <v>0.91746031746031742</v>
      </c>
    </row>
    <row r="249" spans="1:19" customFormat="1" ht="47.25" outlineLevel="1" x14ac:dyDescent="0.2">
      <c r="A249" s="25" t="s">
        <v>2000</v>
      </c>
      <c r="B249" s="181" t="s">
        <v>3665</v>
      </c>
      <c r="C249" s="94" t="s">
        <v>549</v>
      </c>
      <c r="D249" s="123">
        <f t="shared" si="46"/>
        <v>6794.166666666667</v>
      </c>
      <c r="E249" s="123">
        <f t="shared" si="39"/>
        <v>1358.8333333333335</v>
      </c>
      <c r="F249" s="123">
        <v>8153</v>
      </c>
      <c r="G249" s="75">
        <v>8153</v>
      </c>
      <c r="H249" s="75">
        <v>6794.17</v>
      </c>
      <c r="I249" s="75">
        <v>1358.83</v>
      </c>
      <c r="J249" s="175">
        <f t="shared" si="35"/>
        <v>8153</v>
      </c>
      <c r="K249" s="175">
        <f t="shared" si="36"/>
        <v>0</v>
      </c>
      <c r="L249" s="75">
        <f t="shared" si="37"/>
        <v>0</v>
      </c>
      <c r="O249" s="217">
        <v>7878</v>
      </c>
      <c r="P249" s="198">
        <v>375</v>
      </c>
      <c r="R249" s="182">
        <v>6500</v>
      </c>
      <c r="S249" s="182">
        <f t="shared" si="40"/>
        <v>0.82508250825082508</v>
      </c>
    </row>
    <row r="250" spans="1:19" customFormat="1" ht="31.5" outlineLevel="1" x14ac:dyDescent="0.2">
      <c r="A250" s="25" t="s">
        <v>2001</v>
      </c>
      <c r="B250" s="181" t="s">
        <v>3666</v>
      </c>
      <c r="C250" s="94" t="s">
        <v>549</v>
      </c>
      <c r="D250" s="123">
        <f t="shared" si="46"/>
        <v>6659.166666666667</v>
      </c>
      <c r="E250" s="123">
        <f t="shared" si="39"/>
        <v>1331.8333333333335</v>
      </c>
      <c r="F250" s="123">
        <v>7991</v>
      </c>
      <c r="G250" s="75">
        <v>7991</v>
      </c>
      <c r="H250" s="75">
        <v>6659.17</v>
      </c>
      <c r="I250" s="75">
        <v>1331.83</v>
      </c>
      <c r="J250" s="175">
        <f t="shared" si="35"/>
        <v>7991</v>
      </c>
      <c r="K250" s="175">
        <f t="shared" si="36"/>
        <v>0</v>
      </c>
      <c r="L250" s="75">
        <f t="shared" si="37"/>
        <v>0</v>
      </c>
      <c r="O250" s="217">
        <v>7716</v>
      </c>
      <c r="P250" s="198">
        <v>375</v>
      </c>
      <c r="R250" s="182">
        <v>6000</v>
      </c>
      <c r="S250" s="182">
        <f t="shared" si="40"/>
        <v>0.77760497667185069</v>
      </c>
    </row>
    <row r="251" spans="1:19" customFormat="1" outlineLevel="1" x14ac:dyDescent="0.2">
      <c r="A251" s="25" t="s">
        <v>2002</v>
      </c>
      <c r="B251" s="181" t="s">
        <v>3667</v>
      </c>
      <c r="C251" s="94" t="s">
        <v>549</v>
      </c>
      <c r="D251" s="123">
        <f t="shared" si="46"/>
        <v>1552.5</v>
      </c>
      <c r="E251" s="123">
        <f t="shared" si="39"/>
        <v>310.5</v>
      </c>
      <c r="F251" s="123">
        <v>1863</v>
      </c>
      <c r="G251" s="75">
        <v>1863</v>
      </c>
      <c r="H251" s="75">
        <v>1552.5</v>
      </c>
      <c r="I251" s="75">
        <v>310.5</v>
      </c>
      <c r="J251" s="175">
        <f t="shared" si="35"/>
        <v>1863</v>
      </c>
      <c r="K251" s="175">
        <f t="shared" si="36"/>
        <v>0</v>
      </c>
      <c r="L251" s="75">
        <f t="shared" si="37"/>
        <v>0</v>
      </c>
      <c r="O251" s="217">
        <v>1588</v>
      </c>
      <c r="P251" s="198">
        <v>375</v>
      </c>
      <c r="R251" s="182">
        <v>1386</v>
      </c>
      <c r="S251" s="182">
        <f t="shared" si="40"/>
        <v>0.87279596977329976</v>
      </c>
    </row>
    <row r="252" spans="1:19" customFormat="1" ht="31.5" outlineLevel="1" x14ac:dyDescent="0.2">
      <c r="A252" s="25" t="s">
        <v>2003</v>
      </c>
      <c r="B252" s="181" t="s">
        <v>3668</v>
      </c>
      <c r="C252" s="94" t="s">
        <v>549</v>
      </c>
      <c r="D252" s="123">
        <f t="shared" si="46"/>
        <v>6440</v>
      </c>
      <c r="E252" s="123">
        <f t="shared" si="39"/>
        <v>1288</v>
      </c>
      <c r="F252" s="123">
        <v>7728</v>
      </c>
      <c r="G252" s="75">
        <v>7728</v>
      </c>
      <c r="H252" s="75">
        <v>6440</v>
      </c>
      <c r="I252" s="75">
        <v>1288</v>
      </c>
      <c r="J252" s="175">
        <f t="shared" si="35"/>
        <v>7728</v>
      </c>
      <c r="K252" s="175">
        <f t="shared" si="36"/>
        <v>0</v>
      </c>
      <c r="L252" s="75">
        <f t="shared" si="37"/>
        <v>0</v>
      </c>
      <c r="O252" s="217">
        <v>7453</v>
      </c>
      <c r="P252" s="198">
        <v>375</v>
      </c>
      <c r="R252" s="182">
        <v>6507</v>
      </c>
      <c r="S252" s="182">
        <f t="shared" si="40"/>
        <v>0.87307124647792833</v>
      </c>
    </row>
    <row r="253" spans="1:19" customFormat="1" ht="31.5" outlineLevel="1" x14ac:dyDescent="0.2">
      <c r="A253" s="25" t="s">
        <v>2004</v>
      </c>
      <c r="B253" s="181" t="s">
        <v>1638</v>
      </c>
      <c r="C253" s="94" t="s">
        <v>549</v>
      </c>
      <c r="D253" s="123">
        <f t="shared" si="46"/>
        <v>890.83333333333337</v>
      </c>
      <c r="E253" s="123">
        <f t="shared" si="39"/>
        <v>178.16666666666669</v>
      </c>
      <c r="F253" s="123">
        <v>1069</v>
      </c>
      <c r="G253" s="75">
        <v>1069</v>
      </c>
      <c r="H253" s="75">
        <v>890.83</v>
      </c>
      <c r="I253" s="75">
        <v>178.17</v>
      </c>
      <c r="J253" s="175">
        <f t="shared" si="35"/>
        <v>1069</v>
      </c>
      <c r="K253" s="175">
        <f t="shared" si="36"/>
        <v>0</v>
      </c>
      <c r="L253" s="75">
        <f t="shared" si="37"/>
        <v>0</v>
      </c>
      <c r="O253" s="217">
        <v>794</v>
      </c>
      <c r="P253" s="198">
        <v>375</v>
      </c>
      <c r="R253" s="182">
        <v>693</v>
      </c>
      <c r="S253" s="182">
        <f t="shared" si="40"/>
        <v>0.87279596977329976</v>
      </c>
    </row>
    <row r="254" spans="1:19" customFormat="1" ht="31.5" outlineLevel="1" x14ac:dyDescent="0.2">
      <c r="A254" s="25" t="s">
        <v>2005</v>
      </c>
      <c r="B254" s="181" t="s">
        <v>1639</v>
      </c>
      <c r="C254" s="94" t="s">
        <v>549</v>
      </c>
      <c r="D254" s="123">
        <f t="shared" si="46"/>
        <v>1982.5</v>
      </c>
      <c r="E254" s="123">
        <f t="shared" si="39"/>
        <v>396.5</v>
      </c>
      <c r="F254" s="123">
        <v>2379</v>
      </c>
      <c r="G254" s="75">
        <v>2379</v>
      </c>
      <c r="H254" s="75">
        <v>1982.5</v>
      </c>
      <c r="I254" s="75">
        <v>396.5</v>
      </c>
      <c r="J254" s="175">
        <f t="shared" si="35"/>
        <v>2379</v>
      </c>
      <c r="K254" s="175">
        <f t="shared" si="36"/>
        <v>0</v>
      </c>
      <c r="L254" s="75">
        <f t="shared" si="37"/>
        <v>0</v>
      </c>
      <c r="O254" s="217">
        <v>2104</v>
      </c>
      <c r="P254" s="198">
        <v>375</v>
      </c>
      <c r="R254" s="182">
        <v>1837</v>
      </c>
      <c r="S254" s="182">
        <f t="shared" si="40"/>
        <v>0.87309885931558939</v>
      </c>
    </row>
    <row r="255" spans="1:19" customFormat="1" ht="31.5" outlineLevel="1" x14ac:dyDescent="0.2">
      <c r="A255" s="25" t="s">
        <v>2006</v>
      </c>
      <c r="B255" s="181" t="s">
        <v>1645</v>
      </c>
      <c r="C255" s="94" t="s">
        <v>549</v>
      </c>
      <c r="D255" s="123">
        <f t="shared" si="46"/>
        <v>728.33333333333337</v>
      </c>
      <c r="E255" s="123">
        <f t="shared" si="39"/>
        <v>145.66666666666669</v>
      </c>
      <c r="F255" s="123">
        <v>874</v>
      </c>
      <c r="G255" s="75">
        <v>874</v>
      </c>
      <c r="H255" s="75">
        <v>728.33</v>
      </c>
      <c r="I255" s="75">
        <v>145.66999999999999</v>
      </c>
      <c r="J255" s="175">
        <f t="shared" si="35"/>
        <v>874</v>
      </c>
      <c r="K255" s="175">
        <f t="shared" si="36"/>
        <v>0</v>
      </c>
      <c r="L255" s="75">
        <f t="shared" si="37"/>
        <v>0</v>
      </c>
      <c r="O255" s="217">
        <v>599</v>
      </c>
      <c r="P255" s="198">
        <v>375</v>
      </c>
      <c r="R255" s="182">
        <v>523</v>
      </c>
      <c r="S255" s="182">
        <f t="shared" si="40"/>
        <v>0.87312186978297157</v>
      </c>
    </row>
    <row r="256" spans="1:19" customFormat="1" outlineLevel="1" x14ac:dyDescent="0.2">
      <c r="A256" s="25" t="s">
        <v>2007</v>
      </c>
      <c r="B256" s="181" t="s">
        <v>1640</v>
      </c>
      <c r="C256" s="94" t="s">
        <v>549</v>
      </c>
      <c r="D256" s="123">
        <f t="shared" si="46"/>
        <v>560</v>
      </c>
      <c r="E256" s="123">
        <f t="shared" si="39"/>
        <v>112</v>
      </c>
      <c r="F256" s="123">
        <v>672</v>
      </c>
      <c r="G256" s="75">
        <v>672</v>
      </c>
      <c r="H256" s="75">
        <v>560</v>
      </c>
      <c r="I256" s="75">
        <v>112</v>
      </c>
      <c r="J256" s="175">
        <f t="shared" si="35"/>
        <v>672</v>
      </c>
      <c r="K256" s="175">
        <f t="shared" si="36"/>
        <v>0</v>
      </c>
      <c r="L256" s="75">
        <f t="shared" si="37"/>
        <v>0</v>
      </c>
      <c r="O256" s="217">
        <v>397</v>
      </c>
      <c r="P256" s="198">
        <v>375</v>
      </c>
      <c r="R256" s="182">
        <v>350</v>
      </c>
      <c r="S256" s="182">
        <f t="shared" si="40"/>
        <v>0.88161209068010071</v>
      </c>
    </row>
    <row r="257" spans="1:19" customFormat="1" outlineLevel="1" x14ac:dyDescent="0.2">
      <c r="A257" s="25" t="s">
        <v>2008</v>
      </c>
      <c r="B257" s="181" t="s">
        <v>1641</v>
      </c>
      <c r="C257" s="94" t="s">
        <v>549</v>
      </c>
      <c r="D257" s="123">
        <f t="shared" si="46"/>
        <v>948.33333333333337</v>
      </c>
      <c r="E257" s="123">
        <f t="shared" si="39"/>
        <v>189.66666666666669</v>
      </c>
      <c r="F257" s="123">
        <v>1138</v>
      </c>
      <c r="G257" s="75">
        <v>1138</v>
      </c>
      <c r="H257" s="75">
        <v>948.33</v>
      </c>
      <c r="I257" s="75">
        <v>189.67</v>
      </c>
      <c r="J257" s="175">
        <f t="shared" si="35"/>
        <v>1138</v>
      </c>
      <c r="K257" s="175">
        <f>G257-J257</f>
        <v>0</v>
      </c>
      <c r="L257" s="75">
        <f t="shared" si="37"/>
        <v>0</v>
      </c>
      <c r="O257" s="217">
        <v>863</v>
      </c>
      <c r="P257" s="198">
        <v>375</v>
      </c>
      <c r="R257" s="182">
        <v>754</v>
      </c>
      <c r="S257" s="182">
        <f t="shared" si="40"/>
        <v>0.8736964078794901</v>
      </c>
    </row>
    <row r="258" spans="1:19" customFormat="1" ht="31.5" outlineLevel="1" x14ac:dyDescent="0.2">
      <c r="A258" s="25" t="s">
        <v>2009</v>
      </c>
      <c r="B258" s="181" t="s">
        <v>3669</v>
      </c>
      <c r="C258" s="94" t="s">
        <v>549</v>
      </c>
      <c r="D258" s="123">
        <f t="shared" si="46"/>
        <v>1285</v>
      </c>
      <c r="E258" s="123">
        <f t="shared" si="39"/>
        <v>257</v>
      </c>
      <c r="F258" s="123">
        <f>P258+R258</f>
        <v>1542</v>
      </c>
      <c r="G258" s="75">
        <v>1133</v>
      </c>
      <c r="H258" s="75">
        <v>944.17</v>
      </c>
      <c r="I258" s="75">
        <v>188.83</v>
      </c>
      <c r="J258" s="175">
        <f t="shared" si="35"/>
        <v>1133</v>
      </c>
      <c r="K258" s="175">
        <f t="shared" si="36"/>
        <v>0</v>
      </c>
      <c r="L258" s="75">
        <f t="shared" si="37"/>
        <v>409</v>
      </c>
      <c r="O258" s="217">
        <v>858</v>
      </c>
      <c r="P258" s="198">
        <v>375</v>
      </c>
      <c r="R258" s="182">
        <v>1167</v>
      </c>
      <c r="S258" s="182">
        <f t="shared" si="40"/>
        <v>1.3601398601398602</v>
      </c>
    </row>
    <row r="259" spans="1:19" customFormat="1" outlineLevel="1" x14ac:dyDescent="0.2">
      <c r="A259" s="25" t="s">
        <v>2010</v>
      </c>
      <c r="B259" s="181" t="s">
        <v>1635</v>
      </c>
      <c r="C259" s="94" t="s">
        <v>549</v>
      </c>
      <c r="D259" s="123">
        <f t="shared" si="46"/>
        <v>854.16666666666674</v>
      </c>
      <c r="E259" s="123">
        <f t="shared" si="39"/>
        <v>170.83333333333337</v>
      </c>
      <c r="F259" s="123">
        <f>P259+R259</f>
        <v>1025</v>
      </c>
      <c r="G259" s="75">
        <v>943</v>
      </c>
      <c r="H259" s="75">
        <v>785.83</v>
      </c>
      <c r="I259" s="75">
        <v>157.16999999999999</v>
      </c>
      <c r="J259" s="175">
        <f t="shared" si="35"/>
        <v>943</v>
      </c>
      <c r="K259" s="175">
        <f t="shared" si="36"/>
        <v>0</v>
      </c>
      <c r="L259" s="75">
        <f t="shared" si="37"/>
        <v>82</v>
      </c>
      <c r="O259" s="217">
        <v>668</v>
      </c>
      <c r="P259" s="198">
        <v>375</v>
      </c>
      <c r="R259" s="182">
        <v>650</v>
      </c>
      <c r="S259" s="182">
        <f t="shared" si="40"/>
        <v>0.97305389221556882</v>
      </c>
    </row>
    <row r="260" spans="1:19" customFormat="1" outlineLevel="1" x14ac:dyDescent="0.2">
      <c r="A260" s="25" t="s">
        <v>2011</v>
      </c>
      <c r="B260" s="181" t="s">
        <v>1642</v>
      </c>
      <c r="C260" s="94" t="s">
        <v>549</v>
      </c>
      <c r="D260" s="123">
        <f t="shared" si="46"/>
        <v>7955</v>
      </c>
      <c r="E260" s="123">
        <f t="shared" si="39"/>
        <v>1591</v>
      </c>
      <c r="F260" s="123">
        <v>9546</v>
      </c>
      <c r="G260" s="75">
        <v>9546</v>
      </c>
      <c r="H260" s="75">
        <v>7955</v>
      </c>
      <c r="I260" s="75">
        <v>1591</v>
      </c>
      <c r="J260" s="175">
        <f t="shared" si="35"/>
        <v>9546</v>
      </c>
      <c r="K260" s="175">
        <f t="shared" si="36"/>
        <v>0</v>
      </c>
      <c r="L260" s="75">
        <f t="shared" si="37"/>
        <v>0</v>
      </c>
      <c r="O260" s="217">
        <v>9271</v>
      </c>
      <c r="P260" s="198">
        <v>375</v>
      </c>
      <c r="R260" s="182">
        <v>7832</v>
      </c>
      <c r="S260" s="182">
        <f t="shared" si="40"/>
        <v>0.8447848128572969</v>
      </c>
    </row>
    <row r="261" spans="1:19" customFormat="1" outlineLevel="1" x14ac:dyDescent="0.2">
      <c r="A261" s="25" t="s">
        <v>2012</v>
      </c>
      <c r="B261" s="181" t="s">
        <v>1643</v>
      </c>
      <c r="C261" s="94" t="s">
        <v>549</v>
      </c>
      <c r="D261" s="123">
        <f t="shared" si="46"/>
        <v>4749.166666666667</v>
      </c>
      <c r="E261" s="123">
        <f t="shared" si="39"/>
        <v>949.83333333333348</v>
      </c>
      <c r="F261" s="123">
        <v>5699</v>
      </c>
      <c r="G261" s="75">
        <v>5699</v>
      </c>
      <c r="H261" s="75">
        <v>4749.17</v>
      </c>
      <c r="I261" s="75">
        <v>949.83</v>
      </c>
      <c r="J261" s="175">
        <f t="shared" si="35"/>
        <v>5699</v>
      </c>
      <c r="K261" s="175">
        <f t="shared" si="36"/>
        <v>0</v>
      </c>
      <c r="L261" s="75">
        <f t="shared" si="37"/>
        <v>0</v>
      </c>
      <c r="O261" s="217">
        <v>5424</v>
      </c>
      <c r="P261" s="198">
        <v>375</v>
      </c>
      <c r="R261" s="182">
        <v>4736</v>
      </c>
      <c r="S261" s="182">
        <f t="shared" si="40"/>
        <v>0.87315634218289084</v>
      </c>
    </row>
    <row r="262" spans="1:19" customFormat="1" outlineLevel="1" x14ac:dyDescent="0.2">
      <c r="A262" s="25" t="s">
        <v>2013</v>
      </c>
      <c r="B262" s="181" t="s">
        <v>1636</v>
      </c>
      <c r="C262" s="94" t="s">
        <v>549</v>
      </c>
      <c r="D262" s="123">
        <f t="shared" si="46"/>
        <v>5027.5</v>
      </c>
      <c r="E262" s="123">
        <f t="shared" si="39"/>
        <v>1005.5</v>
      </c>
      <c r="F262" s="123">
        <v>6033</v>
      </c>
      <c r="G262" s="75">
        <v>6033</v>
      </c>
      <c r="H262" s="75">
        <v>5027.5</v>
      </c>
      <c r="I262" s="75">
        <v>1005.5</v>
      </c>
      <c r="J262" s="175">
        <f t="shared" si="35"/>
        <v>6033</v>
      </c>
      <c r="K262" s="175">
        <f t="shared" si="36"/>
        <v>0</v>
      </c>
      <c r="L262" s="75">
        <f t="shared" si="37"/>
        <v>0</v>
      </c>
      <c r="O262" s="217">
        <v>5758</v>
      </c>
      <c r="P262" s="198">
        <v>375</v>
      </c>
      <c r="R262" s="182">
        <v>5027</v>
      </c>
      <c r="S262" s="182">
        <f t="shared" si="40"/>
        <v>0.87304619659604032</v>
      </c>
    </row>
    <row r="263" spans="1:19" customFormat="1" outlineLevel="1" x14ac:dyDescent="0.2">
      <c r="A263" s="25" t="s">
        <v>2014</v>
      </c>
      <c r="B263" s="181" t="s">
        <v>1637</v>
      </c>
      <c r="C263" s="94" t="s">
        <v>549</v>
      </c>
      <c r="D263" s="123">
        <f t="shared" si="46"/>
        <v>5027.5</v>
      </c>
      <c r="E263" s="123">
        <f t="shared" si="39"/>
        <v>1005.5</v>
      </c>
      <c r="F263" s="123">
        <v>6033</v>
      </c>
      <c r="G263" s="75">
        <v>6033</v>
      </c>
      <c r="H263" s="75">
        <v>5027.5</v>
      </c>
      <c r="I263" s="75">
        <v>1005.5</v>
      </c>
      <c r="J263" s="175">
        <f t="shared" si="35"/>
        <v>6033</v>
      </c>
      <c r="K263" s="175">
        <f t="shared" si="36"/>
        <v>0</v>
      </c>
      <c r="L263" s="75">
        <f t="shared" si="37"/>
        <v>0</v>
      </c>
      <c r="O263" s="217">
        <v>5758</v>
      </c>
      <c r="P263" s="198">
        <v>375</v>
      </c>
      <c r="R263" s="182">
        <v>5027</v>
      </c>
      <c r="S263" s="182">
        <f t="shared" si="40"/>
        <v>0.87304619659604032</v>
      </c>
    </row>
    <row r="264" spans="1:19" customFormat="1" outlineLevel="1" x14ac:dyDescent="0.2">
      <c r="A264" s="25" t="s">
        <v>2015</v>
      </c>
      <c r="B264" s="181" t="s">
        <v>1644</v>
      </c>
      <c r="C264" s="94" t="s">
        <v>549</v>
      </c>
      <c r="D264" s="123">
        <f t="shared" si="46"/>
        <v>1000.8333333333334</v>
      </c>
      <c r="E264" s="123">
        <f t="shared" si="39"/>
        <v>200.16666666666669</v>
      </c>
      <c r="F264" s="123">
        <v>1201</v>
      </c>
      <c r="G264" s="75">
        <v>1201</v>
      </c>
      <c r="H264" s="75">
        <v>1000.83</v>
      </c>
      <c r="I264" s="75">
        <v>200.17</v>
      </c>
      <c r="J264" s="175">
        <f t="shared" ref="J264:J266" si="48">I264+H264</f>
        <v>1201</v>
      </c>
      <c r="K264" s="175">
        <f t="shared" ref="K264:K266" si="49">G264-J264</f>
        <v>0</v>
      </c>
      <c r="L264" s="75">
        <f t="shared" ref="L264" si="50">F264-G264</f>
        <v>0</v>
      </c>
      <c r="O264" s="217">
        <v>926</v>
      </c>
      <c r="P264" s="198">
        <v>375</v>
      </c>
      <c r="R264" s="182">
        <v>882</v>
      </c>
      <c r="S264" s="182">
        <f t="shared" si="40"/>
        <v>0.95248380129589638</v>
      </c>
    </row>
    <row r="265" spans="1:19" s="83" customFormat="1" ht="18.75" x14ac:dyDescent="0.2">
      <c r="A265" s="407" t="s">
        <v>1924</v>
      </c>
      <c r="B265" s="452"/>
      <c r="C265" s="452"/>
      <c r="D265" s="452"/>
      <c r="E265" s="452"/>
      <c r="F265" s="409"/>
      <c r="G265" s="75"/>
      <c r="H265" s="75"/>
      <c r="I265" s="75"/>
      <c r="J265" s="175"/>
      <c r="K265" s="175"/>
      <c r="L265" s="75"/>
      <c r="P265" s="198"/>
      <c r="S265" s="182"/>
    </row>
    <row r="266" spans="1:19" customFormat="1" outlineLevel="1" x14ac:dyDescent="0.2">
      <c r="A266" s="25" t="s">
        <v>2016</v>
      </c>
      <c r="B266" s="181" t="s">
        <v>1856</v>
      </c>
      <c r="C266" s="94" t="s">
        <v>549</v>
      </c>
      <c r="D266" s="123">
        <f t="shared" ref="D266" si="51">F266/1.2</f>
        <v>3064.166666666667</v>
      </c>
      <c r="E266" s="123">
        <f t="shared" si="39"/>
        <v>612.83333333333337</v>
      </c>
      <c r="F266" s="123">
        <f>P266+R266</f>
        <v>3677</v>
      </c>
      <c r="G266" s="75">
        <v>3623</v>
      </c>
      <c r="H266" s="75">
        <v>3019.17</v>
      </c>
      <c r="I266" s="75">
        <v>603.83000000000004</v>
      </c>
      <c r="J266" s="175">
        <f t="shared" si="48"/>
        <v>3623</v>
      </c>
      <c r="K266" s="175">
        <f t="shared" si="49"/>
        <v>0</v>
      </c>
      <c r="L266" s="75">
        <f>F266-G266</f>
        <v>54</v>
      </c>
      <c r="O266" s="217">
        <v>3348</v>
      </c>
      <c r="P266" s="198">
        <v>375</v>
      </c>
      <c r="R266" s="182">
        <v>3302</v>
      </c>
      <c r="S266" s="182">
        <f t="shared" si="40"/>
        <v>0.98626045400238949</v>
      </c>
    </row>
    <row r="267" spans="1:19" s="83" customFormat="1" ht="19.5" thickBot="1" x14ac:dyDescent="0.25">
      <c r="A267" s="407" t="s">
        <v>2759</v>
      </c>
      <c r="B267" s="452"/>
      <c r="C267" s="452"/>
      <c r="D267" s="452"/>
      <c r="E267" s="452"/>
      <c r="F267" s="409"/>
      <c r="G267" s="75"/>
      <c r="H267" s="75"/>
      <c r="I267" s="75"/>
      <c r="J267" s="175"/>
      <c r="K267" s="175"/>
      <c r="L267" s="75"/>
      <c r="P267" s="198"/>
      <c r="S267" s="182"/>
    </row>
    <row r="268" spans="1:19" s="95" customFormat="1" ht="32.25" outlineLevel="1" thickBot="1" x14ac:dyDescent="0.25">
      <c r="A268" s="25" t="s">
        <v>2762</v>
      </c>
      <c r="B268" s="181" t="s">
        <v>2826</v>
      </c>
      <c r="C268" s="94" t="s">
        <v>549</v>
      </c>
      <c r="D268" s="123">
        <f t="shared" ref="D268:D331" si="52">F268/1.2</f>
        <v>685.83333333333337</v>
      </c>
      <c r="E268" s="123">
        <f t="shared" si="39"/>
        <v>137.16666666666669</v>
      </c>
      <c r="F268" s="123">
        <f>P268+R268</f>
        <v>823</v>
      </c>
      <c r="G268" s="224"/>
      <c r="H268" s="224"/>
      <c r="I268" s="224"/>
      <c r="J268" s="225"/>
      <c r="K268" s="225"/>
      <c r="L268" s="224"/>
      <c r="O268" s="194">
        <v>340</v>
      </c>
      <c r="P268" s="198">
        <v>375</v>
      </c>
      <c r="Q268" s="95">
        <v>448</v>
      </c>
      <c r="R268" s="95">
        <v>448</v>
      </c>
      <c r="S268" s="182">
        <f t="shared" ref="S268:S331" si="53">R268/O268</f>
        <v>1.3176470588235294</v>
      </c>
    </row>
    <row r="269" spans="1:19" s="95" customFormat="1" ht="32.25" outlineLevel="1" thickBot="1" x14ac:dyDescent="0.25">
      <c r="A269" s="25" t="s">
        <v>2763</v>
      </c>
      <c r="B269" s="181" t="s">
        <v>2827</v>
      </c>
      <c r="C269" s="94" t="s">
        <v>549</v>
      </c>
      <c r="D269" s="123">
        <f t="shared" si="52"/>
        <v>685.83333333333337</v>
      </c>
      <c r="E269" s="123">
        <f t="shared" si="39"/>
        <v>137.16666666666669</v>
      </c>
      <c r="F269" s="123">
        <f t="shared" ref="F269:F331" si="54">P269+R269</f>
        <v>823</v>
      </c>
      <c r="G269" s="224"/>
      <c r="H269" s="224"/>
      <c r="I269" s="224"/>
      <c r="J269" s="225"/>
      <c r="K269" s="225"/>
      <c r="L269" s="224"/>
      <c r="O269" s="194">
        <v>340</v>
      </c>
      <c r="P269" s="198">
        <v>375</v>
      </c>
      <c r="Q269" s="95">
        <v>448</v>
      </c>
      <c r="R269" s="95">
        <v>448</v>
      </c>
      <c r="S269" s="182">
        <f t="shared" si="53"/>
        <v>1.3176470588235294</v>
      </c>
    </row>
    <row r="270" spans="1:19" s="95" customFormat="1" ht="16.5" outlineLevel="1" thickBot="1" x14ac:dyDescent="0.25">
      <c r="A270" s="25" t="s">
        <v>2764</v>
      </c>
      <c r="B270" s="181" t="s">
        <v>2828</v>
      </c>
      <c r="C270" s="94" t="s">
        <v>549</v>
      </c>
      <c r="D270" s="123">
        <f t="shared" si="52"/>
        <v>734.16666666666674</v>
      </c>
      <c r="E270" s="123">
        <f t="shared" ref="E270:E334" si="55">D270*0.2</f>
        <v>146.83333333333334</v>
      </c>
      <c r="F270" s="123">
        <f t="shared" si="54"/>
        <v>881</v>
      </c>
      <c r="G270" s="224"/>
      <c r="H270" s="224"/>
      <c r="I270" s="224"/>
      <c r="J270" s="225"/>
      <c r="K270" s="225"/>
      <c r="L270" s="224"/>
      <c r="O270" s="194">
        <v>330</v>
      </c>
      <c r="P270" s="198">
        <v>375</v>
      </c>
      <c r="Q270" s="95">
        <v>506</v>
      </c>
      <c r="R270" s="95">
        <v>506</v>
      </c>
      <c r="S270" s="182">
        <f t="shared" si="53"/>
        <v>1.5333333333333334</v>
      </c>
    </row>
    <row r="271" spans="1:19" s="95" customFormat="1" ht="32.25" outlineLevel="1" thickBot="1" x14ac:dyDescent="0.25">
      <c r="A271" s="25" t="s">
        <v>2765</v>
      </c>
      <c r="B271" s="181" t="s">
        <v>2829</v>
      </c>
      <c r="C271" s="94" t="s">
        <v>549</v>
      </c>
      <c r="D271" s="123">
        <f t="shared" si="52"/>
        <v>734.16666666666674</v>
      </c>
      <c r="E271" s="123">
        <f t="shared" si="55"/>
        <v>146.83333333333334</v>
      </c>
      <c r="F271" s="123">
        <f t="shared" si="54"/>
        <v>881</v>
      </c>
      <c r="G271" s="224"/>
      <c r="H271" s="224"/>
      <c r="I271" s="224"/>
      <c r="J271" s="225"/>
      <c r="K271" s="225"/>
      <c r="L271" s="224"/>
      <c r="O271" s="194">
        <v>330</v>
      </c>
      <c r="P271" s="198">
        <v>375</v>
      </c>
      <c r="Q271" s="95">
        <v>506</v>
      </c>
      <c r="R271" s="95">
        <v>506</v>
      </c>
      <c r="S271" s="182">
        <f t="shared" si="53"/>
        <v>1.5333333333333334</v>
      </c>
    </row>
    <row r="272" spans="1:19" s="95" customFormat="1" ht="16.5" outlineLevel="1" thickBot="1" x14ac:dyDescent="0.25">
      <c r="A272" s="25" t="s">
        <v>2766</v>
      </c>
      <c r="B272" s="181" t="s">
        <v>2830</v>
      </c>
      <c r="C272" s="94" t="s">
        <v>549</v>
      </c>
      <c r="D272" s="123">
        <f t="shared" si="52"/>
        <v>734.16666666666674</v>
      </c>
      <c r="E272" s="123">
        <f t="shared" si="55"/>
        <v>146.83333333333334</v>
      </c>
      <c r="F272" s="123">
        <f t="shared" si="54"/>
        <v>881</v>
      </c>
      <c r="G272" s="224"/>
      <c r="H272" s="224"/>
      <c r="I272" s="224"/>
      <c r="J272" s="225"/>
      <c r="K272" s="225"/>
      <c r="L272" s="224"/>
      <c r="O272" s="194">
        <v>330</v>
      </c>
      <c r="P272" s="198">
        <v>375</v>
      </c>
      <c r="Q272" s="95">
        <v>506</v>
      </c>
      <c r="R272" s="95">
        <v>506</v>
      </c>
      <c r="S272" s="182">
        <f t="shared" si="53"/>
        <v>1.5333333333333334</v>
      </c>
    </row>
    <row r="273" spans="1:19" s="95" customFormat="1" ht="32.25" outlineLevel="1" thickBot="1" x14ac:dyDescent="0.25">
      <c r="A273" s="25" t="s">
        <v>2767</v>
      </c>
      <c r="B273" s="181" t="s">
        <v>2831</v>
      </c>
      <c r="C273" s="94" t="s">
        <v>549</v>
      </c>
      <c r="D273" s="123">
        <f t="shared" si="52"/>
        <v>942.5</v>
      </c>
      <c r="E273" s="123">
        <f t="shared" si="55"/>
        <v>188.5</v>
      </c>
      <c r="F273" s="123">
        <f t="shared" si="54"/>
        <v>1131</v>
      </c>
      <c r="G273" s="224"/>
      <c r="H273" s="224"/>
      <c r="I273" s="224"/>
      <c r="J273" s="225"/>
      <c r="K273" s="225"/>
      <c r="L273" s="224"/>
      <c r="O273" s="194">
        <v>630</v>
      </c>
      <c r="P273" s="198">
        <v>375</v>
      </c>
      <c r="R273" s="95">
        <v>756</v>
      </c>
      <c r="S273" s="182">
        <f t="shared" si="53"/>
        <v>1.2</v>
      </c>
    </row>
    <row r="274" spans="1:19" s="95" customFormat="1" ht="32.25" outlineLevel="1" thickBot="1" x14ac:dyDescent="0.25">
      <c r="A274" s="25" t="s">
        <v>2768</v>
      </c>
      <c r="B274" s="181" t="s">
        <v>2760</v>
      </c>
      <c r="C274" s="94" t="s">
        <v>549</v>
      </c>
      <c r="D274" s="123">
        <f t="shared" si="52"/>
        <v>1838.3333333333335</v>
      </c>
      <c r="E274" s="123">
        <f t="shared" si="55"/>
        <v>367.66666666666674</v>
      </c>
      <c r="F274" s="123">
        <f t="shared" si="54"/>
        <v>2206</v>
      </c>
      <c r="G274" s="224"/>
      <c r="H274" s="224"/>
      <c r="I274" s="224"/>
      <c r="J274" s="225"/>
      <c r="K274" s="225"/>
      <c r="L274" s="224"/>
      <c r="O274" s="194">
        <v>1560</v>
      </c>
      <c r="P274" s="198">
        <v>375</v>
      </c>
      <c r="R274" s="95">
        <v>1831</v>
      </c>
      <c r="S274" s="182">
        <f t="shared" si="53"/>
        <v>1.1737179487179488</v>
      </c>
    </row>
    <row r="275" spans="1:19" s="95" customFormat="1" ht="16.5" outlineLevel="1" thickBot="1" x14ac:dyDescent="0.25">
      <c r="A275" s="25" t="s">
        <v>2769</v>
      </c>
      <c r="B275" s="181" t="s">
        <v>2832</v>
      </c>
      <c r="C275" s="94" t="s">
        <v>549</v>
      </c>
      <c r="D275" s="123">
        <f t="shared" si="52"/>
        <v>1838.3333333333335</v>
      </c>
      <c r="E275" s="123">
        <f t="shared" si="55"/>
        <v>367.66666666666674</v>
      </c>
      <c r="F275" s="123">
        <f t="shared" si="54"/>
        <v>2206</v>
      </c>
      <c r="G275" s="224"/>
      <c r="H275" s="224"/>
      <c r="I275" s="224"/>
      <c r="J275" s="225"/>
      <c r="K275" s="225"/>
      <c r="L275" s="224"/>
      <c r="O275" s="194">
        <v>1560</v>
      </c>
      <c r="P275" s="198">
        <v>375</v>
      </c>
      <c r="R275" s="95">
        <v>1831</v>
      </c>
      <c r="S275" s="182">
        <f t="shared" si="53"/>
        <v>1.1737179487179488</v>
      </c>
    </row>
    <row r="276" spans="1:19" s="95" customFormat="1" ht="16.5" outlineLevel="1" thickBot="1" x14ac:dyDescent="0.25">
      <c r="A276" s="25" t="s">
        <v>2770</v>
      </c>
      <c r="B276" s="181" t="s">
        <v>2833</v>
      </c>
      <c r="C276" s="94" t="s">
        <v>549</v>
      </c>
      <c r="D276" s="123">
        <f t="shared" si="52"/>
        <v>1838.3333333333335</v>
      </c>
      <c r="E276" s="123">
        <f t="shared" si="55"/>
        <v>367.66666666666674</v>
      </c>
      <c r="F276" s="123">
        <f t="shared" si="54"/>
        <v>2206</v>
      </c>
      <c r="G276" s="224"/>
      <c r="H276" s="224"/>
      <c r="I276" s="224"/>
      <c r="J276" s="225"/>
      <c r="K276" s="225"/>
      <c r="L276" s="224"/>
      <c r="O276" s="194">
        <v>1560</v>
      </c>
      <c r="P276" s="198">
        <v>375</v>
      </c>
      <c r="R276" s="95">
        <v>1831</v>
      </c>
      <c r="S276" s="182">
        <f t="shared" si="53"/>
        <v>1.1737179487179488</v>
      </c>
    </row>
    <row r="277" spans="1:19" s="95" customFormat="1" ht="16.5" outlineLevel="1" thickBot="1" x14ac:dyDescent="0.25">
      <c r="A277" s="25" t="s">
        <v>2771</v>
      </c>
      <c r="B277" s="181" t="s">
        <v>3670</v>
      </c>
      <c r="C277" s="94" t="s">
        <v>549</v>
      </c>
      <c r="D277" s="123">
        <f t="shared" si="52"/>
        <v>652.5</v>
      </c>
      <c r="E277" s="123">
        <f t="shared" si="55"/>
        <v>130.5</v>
      </c>
      <c r="F277" s="123">
        <f t="shared" si="54"/>
        <v>783</v>
      </c>
      <c r="G277" s="224"/>
      <c r="H277" s="224"/>
      <c r="I277" s="224"/>
      <c r="J277" s="225"/>
      <c r="K277" s="225"/>
      <c r="L277" s="224"/>
      <c r="O277" s="194">
        <v>325</v>
      </c>
      <c r="P277" s="198">
        <v>375</v>
      </c>
      <c r="R277" s="95">
        <v>408</v>
      </c>
      <c r="S277" s="182">
        <f t="shared" si="53"/>
        <v>1.2553846153846153</v>
      </c>
    </row>
    <row r="278" spans="1:19" s="95" customFormat="1" ht="16.5" outlineLevel="1" thickBot="1" x14ac:dyDescent="0.25">
      <c r="A278" s="25" t="s">
        <v>2772</v>
      </c>
      <c r="B278" s="181" t="s">
        <v>2835</v>
      </c>
      <c r="C278" s="94" t="s">
        <v>549</v>
      </c>
      <c r="D278" s="123">
        <f t="shared" si="52"/>
        <v>722.5</v>
      </c>
      <c r="E278" s="123">
        <f t="shared" si="55"/>
        <v>144.5</v>
      </c>
      <c r="F278" s="123">
        <f t="shared" si="54"/>
        <v>867</v>
      </c>
      <c r="G278" s="224"/>
      <c r="H278" s="224"/>
      <c r="I278" s="224"/>
      <c r="J278" s="225"/>
      <c r="K278" s="225"/>
      <c r="L278" s="224"/>
      <c r="O278" s="194">
        <v>420</v>
      </c>
      <c r="P278" s="198">
        <v>375</v>
      </c>
      <c r="R278" s="95">
        <v>492</v>
      </c>
      <c r="S278" s="182">
        <f t="shared" si="53"/>
        <v>1.1714285714285715</v>
      </c>
    </row>
    <row r="279" spans="1:19" ht="16.5" outlineLevel="1" thickBot="1" x14ac:dyDescent="0.3">
      <c r="A279" s="25" t="s">
        <v>2773</v>
      </c>
      <c r="B279" s="181" t="s">
        <v>3671</v>
      </c>
      <c r="C279" s="94" t="s">
        <v>549</v>
      </c>
      <c r="D279" s="123">
        <f t="shared" si="52"/>
        <v>716.66666666666674</v>
      </c>
      <c r="E279" s="123">
        <f t="shared" si="55"/>
        <v>143.33333333333334</v>
      </c>
      <c r="F279" s="123">
        <f t="shared" si="54"/>
        <v>860</v>
      </c>
      <c r="O279" s="194">
        <v>390</v>
      </c>
      <c r="P279" s="198">
        <v>375</v>
      </c>
      <c r="R279" s="1">
        <v>485</v>
      </c>
      <c r="S279" s="182">
        <f t="shared" si="53"/>
        <v>1.2435897435897436</v>
      </c>
    </row>
    <row r="280" spans="1:19" s="161" customFormat="1" ht="16.5" outlineLevel="1" thickBot="1" x14ac:dyDescent="0.3">
      <c r="A280" s="25" t="s">
        <v>2774</v>
      </c>
      <c r="B280" s="181" t="s">
        <v>3672</v>
      </c>
      <c r="C280" s="94" t="s">
        <v>549</v>
      </c>
      <c r="D280" s="123">
        <f t="shared" si="52"/>
        <v>686.66666666666674</v>
      </c>
      <c r="E280" s="123">
        <f t="shared" si="55"/>
        <v>137.33333333333334</v>
      </c>
      <c r="F280" s="123">
        <f t="shared" si="54"/>
        <v>824</v>
      </c>
      <c r="M280" s="1"/>
      <c r="N280" s="1"/>
      <c r="O280" s="194">
        <v>320</v>
      </c>
      <c r="P280" s="198">
        <v>375</v>
      </c>
      <c r="Q280" s="1"/>
      <c r="R280" s="161">
        <v>449</v>
      </c>
      <c r="S280" s="182">
        <f t="shared" si="53"/>
        <v>1.403125</v>
      </c>
    </row>
    <row r="281" spans="1:19" s="161" customFormat="1" ht="32.25" outlineLevel="1" thickBot="1" x14ac:dyDescent="0.3">
      <c r="A281" s="25" t="s">
        <v>2775</v>
      </c>
      <c r="B281" s="181" t="s">
        <v>3673</v>
      </c>
      <c r="C281" s="94" t="s">
        <v>549</v>
      </c>
      <c r="D281" s="123">
        <f t="shared" si="52"/>
        <v>656.66666666666674</v>
      </c>
      <c r="E281" s="123">
        <f t="shared" si="55"/>
        <v>131.33333333333334</v>
      </c>
      <c r="F281" s="123">
        <f t="shared" si="54"/>
        <v>788</v>
      </c>
      <c r="M281" s="1"/>
      <c r="N281" s="1"/>
      <c r="O281" s="194">
        <v>325</v>
      </c>
      <c r="P281" s="198">
        <v>375</v>
      </c>
      <c r="Q281" s="1"/>
      <c r="R281" s="161">
        <v>413</v>
      </c>
      <c r="S281" s="182">
        <f t="shared" si="53"/>
        <v>1.2707692307692309</v>
      </c>
    </row>
    <row r="282" spans="1:19" s="161" customFormat="1" ht="16.5" outlineLevel="1" thickBot="1" x14ac:dyDescent="0.3">
      <c r="A282" s="25" t="s">
        <v>2776</v>
      </c>
      <c r="B282" s="181" t="s">
        <v>3674</v>
      </c>
      <c r="C282" s="94" t="s">
        <v>549</v>
      </c>
      <c r="D282" s="123">
        <f t="shared" si="52"/>
        <v>942.5</v>
      </c>
      <c r="E282" s="123">
        <f t="shared" si="55"/>
        <v>188.5</v>
      </c>
      <c r="F282" s="123">
        <f>P282+R282</f>
        <v>1131</v>
      </c>
      <c r="M282" s="1"/>
      <c r="N282" s="1"/>
      <c r="O282" s="194">
        <v>650</v>
      </c>
      <c r="P282" s="198">
        <v>375</v>
      </c>
      <c r="Q282" s="1"/>
      <c r="R282" s="161">
        <v>756</v>
      </c>
      <c r="S282" s="182">
        <f t="shared" si="53"/>
        <v>1.1630769230769231</v>
      </c>
    </row>
    <row r="283" spans="1:19" s="5" customFormat="1" ht="16.5" outlineLevel="1" thickBot="1" x14ac:dyDescent="0.3">
      <c r="A283" s="25" t="s">
        <v>2777</v>
      </c>
      <c r="B283" s="181" t="s">
        <v>3675</v>
      </c>
      <c r="C283" s="94" t="s">
        <v>549</v>
      </c>
      <c r="D283" s="123">
        <f t="shared" si="52"/>
        <v>942.5</v>
      </c>
      <c r="E283" s="123">
        <f t="shared" si="55"/>
        <v>188.5</v>
      </c>
      <c r="F283" s="123">
        <f t="shared" si="54"/>
        <v>1131</v>
      </c>
      <c r="G283" s="161"/>
      <c r="H283" s="161"/>
      <c r="I283" s="159"/>
      <c r="J283" s="161"/>
      <c r="K283" s="161"/>
      <c r="L283" s="161"/>
      <c r="O283" s="194">
        <v>650</v>
      </c>
      <c r="P283" s="198">
        <v>375</v>
      </c>
      <c r="R283" s="5">
        <v>756</v>
      </c>
      <c r="S283" s="182">
        <f t="shared" si="53"/>
        <v>1.1630769230769231</v>
      </c>
    </row>
    <row r="284" spans="1:19" s="5" customFormat="1" ht="16.5" outlineLevel="1" thickBot="1" x14ac:dyDescent="0.3">
      <c r="A284" s="25" t="s">
        <v>2778</v>
      </c>
      <c r="B284" s="181" t="s">
        <v>3676</v>
      </c>
      <c r="C284" s="94" t="s">
        <v>549</v>
      </c>
      <c r="D284" s="123">
        <f t="shared" si="52"/>
        <v>942.5</v>
      </c>
      <c r="E284" s="123">
        <f t="shared" si="55"/>
        <v>188.5</v>
      </c>
      <c r="F284" s="123">
        <f t="shared" si="54"/>
        <v>1131</v>
      </c>
      <c r="G284" s="161"/>
      <c r="H284" s="161"/>
      <c r="I284" s="159"/>
      <c r="J284" s="161"/>
      <c r="K284" s="161"/>
      <c r="L284" s="161"/>
      <c r="O284" s="194">
        <v>650</v>
      </c>
      <c r="P284" s="198">
        <v>375</v>
      </c>
      <c r="R284" s="5">
        <v>756</v>
      </c>
      <c r="S284" s="182">
        <f t="shared" si="53"/>
        <v>1.1630769230769231</v>
      </c>
    </row>
    <row r="285" spans="1:19" ht="32.25" outlineLevel="1" thickBot="1" x14ac:dyDescent="0.3">
      <c r="A285" s="25" t="s">
        <v>2779</v>
      </c>
      <c r="B285" s="181" t="s">
        <v>3677</v>
      </c>
      <c r="C285" s="94" t="s">
        <v>549</v>
      </c>
      <c r="D285" s="123">
        <f t="shared" si="52"/>
        <v>942.5</v>
      </c>
      <c r="E285" s="123">
        <f t="shared" si="55"/>
        <v>188.5</v>
      </c>
      <c r="F285" s="123">
        <f t="shared" si="54"/>
        <v>1131</v>
      </c>
      <c r="O285" s="194">
        <v>650</v>
      </c>
      <c r="P285" s="198">
        <v>375</v>
      </c>
      <c r="R285" s="1">
        <v>756</v>
      </c>
      <c r="S285" s="182">
        <f t="shared" si="53"/>
        <v>1.1630769230769231</v>
      </c>
    </row>
    <row r="286" spans="1:19" ht="32.25" outlineLevel="1" thickBot="1" x14ac:dyDescent="0.3">
      <c r="A286" s="25" t="s">
        <v>2780</v>
      </c>
      <c r="B286" s="181" t="s">
        <v>2864</v>
      </c>
      <c r="C286" s="94" t="s">
        <v>549</v>
      </c>
      <c r="D286" s="123">
        <f t="shared" si="52"/>
        <v>738.33333333333337</v>
      </c>
      <c r="E286" s="123">
        <f t="shared" si="55"/>
        <v>147.66666666666669</v>
      </c>
      <c r="F286" s="123">
        <f t="shared" si="54"/>
        <v>886</v>
      </c>
      <c r="O286" s="194">
        <v>320</v>
      </c>
      <c r="P286" s="198">
        <v>375</v>
      </c>
      <c r="R286" s="1">
        <v>511</v>
      </c>
      <c r="S286" s="182">
        <f t="shared" si="53"/>
        <v>1.596875</v>
      </c>
    </row>
    <row r="287" spans="1:19" ht="16.5" outlineLevel="1" thickBot="1" x14ac:dyDescent="0.3">
      <c r="A287" s="25" t="s">
        <v>2781</v>
      </c>
      <c r="B287" s="181" t="s">
        <v>2865</v>
      </c>
      <c r="C287" s="94" t="s">
        <v>549</v>
      </c>
      <c r="D287" s="123">
        <f t="shared" si="52"/>
        <v>738.33333333333337</v>
      </c>
      <c r="E287" s="123">
        <f t="shared" si="55"/>
        <v>147.66666666666669</v>
      </c>
      <c r="F287" s="123">
        <f t="shared" si="54"/>
        <v>886</v>
      </c>
      <c r="O287" s="194">
        <v>320</v>
      </c>
      <c r="P287" s="198">
        <v>375</v>
      </c>
      <c r="R287" s="1">
        <v>511</v>
      </c>
      <c r="S287" s="182">
        <f t="shared" si="53"/>
        <v>1.596875</v>
      </c>
    </row>
    <row r="288" spans="1:19" ht="16.5" outlineLevel="1" thickBot="1" x14ac:dyDescent="0.3">
      <c r="A288" s="25" t="s">
        <v>2782</v>
      </c>
      <c r="B288" s="181" t="s">
        <v>2837</v>
      </c>
      <c r="C288" s="94" t="s">
        <v>549</v>
      </c>
      <c r="D288" s="123">
        <f t="shared" si="52"/>
        <v>845.83333333333337</v>
      </c>
      <c r="E288" s="123">
        <f t="shared" si="55"/>
        <v>169.16666666666669</v>
      </c>
      <c r="F288" s="123">
        <f t="shared" si="54"/>
        <v>1015</v>
      </c>
      <c r="O288" s="194">
        <v>320</v>
      </c>
      <c r="P288" s="198">
        <v>375</v>
      </c>
      <c r="R288" s="1">
        <v>640</v>
      </c>
      <c r="S288" s="182">
        <f t="shared" si="53"/>
        <v>2</v>
      </c>
    </row>
    <row r="289" spans="1:19" ht="32.25" outlineLevel="1" thickBot="1" x14ac:dyDescent="0.3">
      <c r="A289" s="25" t="s">
        <v>2783</v>
      </c>
      <c r="B289" s="181" t="s">
        <v>2838</v>
      </c>
      <c r="C289" s="94" t="s">
        <v>549</v>
      </c>
      <c r="D289" s="123">
        <f t="shared" si="52"/>
        <v>845.83333333333337</v>
      </c>
      <c r="E289" s="123">
        <f t="shared" si="55"/>
        <v>169.16666666666669</v>
      </c>
      <c r="F289" s="123">
        <f t="shared" si="54"/>
        <v>1015</v>
      </c>
      <c r="O289" s="194">
        <v>320</v>
      </c>
      <c r="P289" s="198">
        <v>375</v>
      </c>
      <c r="R289" s="1">
        <v>640</v>
      </c>
      <c r="S289" s="182">
        <f t="shared" si="53"/>
        <v>2</v>
      </c>
    </row>
    <row r="290" spans="1:19" ht="32.25" outlineLevel="1" thickBot="1" x14ac:dyDescent="0.3">
      <c r="A290" s="25" t="s">
        <v>2784</v>
      </c>
      <c r="B290" s="181" t="s">
        <v>2839</v>
      </c>
      <c r="C290" s="94" t="s">
        <v>549</v>
      </c>
      <c r="D290" s="123">
        <f t="shared" si="52"/>
        <v>845.83333333333337</v>
      </c>
      <c r="E290" s="123">
        <f t="shared" si="55"/>
        <v>169.16666666666669</v>
      </c>
      <c r="F290" s="123">
        <f t="shared" si="54"/>
        <v>1015</v>
      </c>
      <c r="O290" s="194">
        <v>320</v>
      </c>
      <c r="P290" s="198">
        <v>375</v>
      </c>
      <c r="R290" s="1">
        <v>640</v>
      </c>
      <c r="S290" s="182">
        <f t="shared" si="53"/>
        <v>2</v>
      </c>
    </row>
    <row r="291" spans="1:19" ht="16.5" outlineLevel="1" thickBot="1" x14ac:dyDescent="0.3">
      <c r="A291" s="25" t="s">
        <v>2785</v>
      </c>
      <c r="B291" s="181" t="s">
        <v>2840</v>
      </c>
      <c r="C291" s="94" t="s">
        <v>549</v>
      </c>
      <c r="D291" s="123">
        <f t="shared" si="52"/>
        <v>845.83333333333337</v>
      </c>
      <c r="E291" s="123">
        <f t="shared" si="55"/>
        <v>169.16666666666669</v>
      </c>
      <c r="F291" s="123">
        <f t="shared" si="54"/>
        <v>1015</v>
      </c>
      <c r="O291" s="194">
        <v>320</v>
      </c>
      <c r="P291" s="198">
        <v>375</v>
      </c>
      <c r="R291" s="1">
        <v>640</v>
      </c>
      <c r="S291" s="182">
        <f t="shared" si="53"/>
        <v>2</v>
      </c>
    </row>
    <row r="292" spans="1:19" ht="16.5" outlineLevel="1" thickBot="1" x14ac:dyDescent="0.3">
      <c r="A292" s="25" t="s">
        <v>2786</v>
      </c>
      <c r="B292" s="181" t="s">
        <v>2841</v>
      </c>
      <c r="C292" s="94" t="s">
        <v>549</v>
      </c>
      <c r="D292" s="123">
        <f t="shared" si="52"/>
        <v>845.83333333333337</v>
      </c>
      <c r="E292" s="123">
        <f t="shared" si="55"/>
        <v>169.16666666666669</v>
      </c>
      <c r="F292" s="123">
        <f t="shared" si="54"/>
        <v>1015</v>
      </c>
      <c r="O292" s="194">
        <v>320</v>
      </c>
      <c r="P292" s="198">
        <v>375</v>
      </c>
      <c r="R292" s="1">
        <v>640</v>
      </c>
      <c r="S292" s="182">
        <f t="shared" si="53"/>
        <v>2</v>
      </c>
    </row>
    <row r="293" spans="1:19" ht="16.5" outlineLevel="1" thickBot="1" x14ac:dyDescent="0.3">
      <c r="A293" s="25" t="s">
        <v>2787</v>
      </c>
      <c r="B293" s="181" t="s">
        <v>2842</v>
      </c>
      <c r="C293" s="94" t="s">
        <v>549</v>
      </c>
      <c r="D293" s="123">
        <f t="shared" si="52"/>
        <v>780.83333333333337</v>
      </c>
      <c r="E293" s="123">
        <f t="shared" si="55"/>
        <v>156.16666666666669</v>
      </c>
      <c r="F293" s="123">
        <f t="shared" si="54"/>
        <v>937</v>
      </c>
      <c r="O293" s="194">
        <v>485</v>
      </c>
      <c r="P293" s="198">
        <v>375</v>
      </c>
      <c r="R293" s="1">
        <v>562</v>
      </c>
      <c r="S293" s="182">
        <f t="shared" si="53"/>
        <v>1.1587628865979382</v>
      </c>
    </row>
    <row r="294" spans="1:19" ht="16.5" outlineLevel="1" thickBot="1" x14ac:dyDescent="0.3">
      <c r="A294" s="25" t="s">
        <v>2788</v>
      </c>
      <c r="B294" s="181" t="s">
        <v>2843</v>
      </c>
      <c r="C294" s="94" t="s">
        <v>549</v>
      </c>
      <c r="D294" s="123">
        <f t="shared" si="52"/>
        <v>757.5</v>
      </c>
      <c r="E294" s="123">
        <f t="shared" si="55"/>
        <v>151.5</v>
      </c>
      <c r="F294" s="123">
        <f t="shared" si="54"/>
        <v>909</v>
      </c>
      <c r="O294" s="194">
        <v>455</v>
      </c>
      <c r="P294" s="198">
        <v>375</v>
      </c>
      <c r="R294" s="1">
        <v>534</v>
      </c>
      <c r="S294" s="182">
        <f t="shared" si="53"/>
        <v>1.1736263736263737</v>
      </c>
    </row>
    <row r="295" spans="1:19" ht="32.25" outlineLevel="1" thickBot="1" x14ac:dyDescent="0.3">
      <c r="A295" s="25" t="s">
        <v>2789</v>
      </c>
      <c r="B295" s="181" t="s">
        <v>2844</v>
      </c>
      <c r="C295" s="94" t="s">
        <v>549</v>
      </c>
      <c r="D295" s="123">
        <f t="shared" si="52"/>
        <v>684.16666666666674</v>
      </c>
      <c r="E295" s="123">
        <f t="shared" si="55"/>
        <v>136.83333333333334</v>
      </c>
      <c r="F295" s="123">
        <f t="shared" si="54"/>
        <v>821</v>
      </c>
      <c r="O295" s="194">
        <v>365</v>
      </c>
      <c r="P295" s="198">
        <v>375</v>
      </c>
      <c r="R295" s="1">
        <v>446</v>
      </c>
      <c r="S295" s="182">
        <f t="shared" si="53"/>
        <v>1.2219178082191782</v>
      </c>
    </row>
    <row r="296" spans="1:19" ht="16.5" outlineLevel="1" thickBot="1" x14ac:dyDescent="0.3">
      <c r="A296" s="25" t="s">
        <v>2790</v>
      </c>
      <c r="B296" s="181" t="s">
        <v>2845</v>
      </c>
      <c r="C296" s="94" t="s">
        <v>549</v>
      </c>
      <c r="D296" s="123">
        <f t="shared" si="52"/>
        <v>684.16666666666674</v>
      </c>
      <c r="E296" s="123">
        <f t="shared" si="55"/>
        <v>136.83333333333334</v>
      </c>
      <c r="F296" s="123">
        <f>P296+R296</f>
        <v>821</v>
      </c>
      <c r="O296" s="194">
        <v>365</v>
      </c>
      <c r="P296" s="198">
        <v>375</v>
      </c>
      <c r="R296" s="1">
        <v>446</v>
      </c>
      <c r="S296" s="182">
        <f t="shared" si="53"/>
        <v>1.2219178082191782</v>
      </c>
    </row>
    <row r="297" spans="1:19" ht="32.25" outlineLevel="1" thickBot="1" x14ac:dyDescent="0.3">
      <c r="A297" s="25" t="s">
        <v>2791</v>
      </c>
      <c r="B297" s="181" t="s">
        <v>2846</v>
      </c>
      <c r="C297" s="94" t="s">
        <v>549</v>
      </c>
      <c r="D297" s="123">
        <f t="shared" si="52"/>
        <v>684.16666666666674</v>
      </c>
      <c r="E297" s="123">
        <f t="shared" si="55"/>
        <v>136.83333333333334</v>
      </c>
      <c r="F297" s="123">
        <f t="shared" si="54"/>
        <v>821</v>
      </c>
      <c r="O297" s="194">
        <v>365</v>
      </c>
      <c r="P297" s="198">
        <v>375</v>
      </c>
      <c r="R297" s="1">
        <v>446</v>
      </c>
      <c r="S297" s="182">
        <f t="shared" si="53"/>
        <v>1.2219178082191782</v>
      </c>
    </row>
    <row r="298" spans="1:19" ht="32.25" outlineLevel="1" thickBot="1" x14ac:dyDescent="0.3">
      <c r="A298" s="25" t="s">
        <v>2792</v>
      </c>
      <c r="B298" s="181" t="s">
        <v>3678</v>
      </c>
      <c r="C298" s="94" t="s">
        <v>549</v>
      </c>
      <c r="D298" s="123">
        <f t="shared" si="52"/>
        <v>859.16666666666674</v>
      </c>
      <c r="E298" s="123">
        <f t="shared" si="55"/>
        <v>171.83333333333337</v>
      </c>
      <c r="F298" s="123">
        <f t="shared" si="54"/>
        <v>1031</v>
      </c>
      <c r="O298" s="194">
        <v>380</v>
      </c>
      <c r="P298" s="198">
        <v>375</v>
      </c>
      <c r="R298" s="1">
        <v>656</v>
      </c>
      <c r="S298" s="182">
        <f t="shared" si="53"/>
        <v>1.7263157894736842</v>
      </c>
    </row>
    <row r="299" spans="1:19" ht="16.5" outlineLevel="1" thickBot="1" x14ac:dyDescent="0.3">
      <c r="A299" s="25" t="s">
        <v>2793</v>
      </c>
      <c r="B299" s="181" t="s">
        <v>3679</v>
      </c>
      <c r="C299" s="94" t="s">
        <v>549</v>
      </c>
      <c r="D299" s="123">
        <f t="shared" si="52"/>
        <v>859.16666666666674</v>
      </c>
      <c r="E299" s="123">
        <f t="shared" si="55"/>
        <v>171.83333333333337</v>
      </c>
      <c r="F299" s="123">
        <f t="shared" si="54"/>
        <v>1031</v>
      </c>
      <c r="O299" s="194">
        <v>380</v>
      </c>
      <c r="P299" s="198">
        <v>375</v>
      </c>
      <c r="R299" s="1">
        <v>656</v>
      </c>
      <c r="S299" s="182">
        <f t="shared" si="53"/>
        <v>1.7263157894736842</v>
      </c>
    </row>
    <row r="300" spans="1:19" ht="16.5" outlineLevel="1" thickBot="1" x14ac:dyDescent="0.3">
      <c r="A300" s="25" t="s">
        <v>2794</v>
      </c>
      <c r="B300" s="181" t="s">
        <v>3680</v>
      </c>
      <c r="C300" s="94" t="s">
        <v>549</v>
      </c>
      <c r="D300" s="123">
        <f t="shared" si="52"/>
        <v>692.5</v>
      </c>
      <c r="E300" s="123">
        <f t="shared" si="55"/>
        <v>138.5</v>
      </c>
      <c r="F300" s="123">
        <f t="shared" si="54"/>
        <v>831</v>
      </c>
      <c r="O300" s="194">
        <v>650</v>
      </c>
      <c r="P300" s="198">
        <v>375</v>
      </c>
      <c r="R300" s="1">
        <v>456</v>
      </c>
      <c r="S300" s="182">
        <f t="shared" si="53"/>
        <v>0.70153846153846156</v>
      </c>
    </row>
    <row r="301" spans="1:19" ht="16.5" outlineLevel="1" thickBot="1" x14ac:dyDescent="0.3">
      <c r="A301" s="25" t="s">
        <v>2795</v>
      </c>
      <c r="B301" s="181" t="s">
        <v>3681</v>
      </c>
      <c r="C301" s="94" t="s">
        <v>549</v>
      </c>
      <c r="D301" s="123">
        <f t="shared" si="52"/>
        <v>1605.8333333333335</v>
      </c>
      <c r="E301" s="123">
        <f t="shared" si="55"/>
        <v>321.16666666666674</v>
      </c>
      <c r="F301" s="123">
        <f t="shared" si="54"/>
        <v>1927</v>
      </c>
      <c r="O301" s="194">
        <v>985</v>
      </c>
      <c r="P301" s="198">
        <v>375</v>
      </c>
      <c r="R301" s="1">
        <v>1552</v>
      </c>
      <c r="S301" s="182">
        <f t="shared" si="53"/>
        <v>1.5756345177664974</v>
      </c>
    </row>
    <row r="302" spans="1:19" ht="16.5" outlineLevel="1" thickBot="1" x14ac:dyDescent="0.3">
      <c r="A302" s="25" t="s">
        <v>2796</v>
      </c>
      <c r="B302" s="181" t="s">
        <v>3682</v>
      </c>
      <c r="C302" s="94" t="s">
        <v>549</v>
      </c>
      <c r="D302" s="123">
        <f t="shared" si="52"/>
        <v>1760.8333333333335</v>
      </c>
      <c r="E302" s="123">
        <f t="shared" si="55"/>
        <v>352.16666666666674</v>
      </c>
      <c r="F302" s="123">
        <f t="shared" si="54"/>
        <v>2113</v>
      </c>
      <c r="O302" s="194">
        <v>985</v>
      </c>
      <c r="P302" s="198">
        <v>375</v>
      </c>
      <c r="R302" s="1">
        <v>1738</v>
      </c>
      <c r="S302" s="182">
        <f t="shared" si="53"/>
        <v>1.7644670050761422</v>
      </c>
    </row>
    <row r="303" spans="1:19" ht="32.25" outlineLevel="1" thickBot="1" x14ac:dyDescent="0.3">
      <c r="A303" s="25" t="s">
        <v>2797</v>
      </c>
      <c r="B303" s="181" t="s">
        <v>3683</v>
      </c>
      <c r="C303" s="94" t="s">
        <v>549</v>
      </c>
      <c r="D303" s="123">
        <f t="shared" si="52"/>
        <v>898.33333333333337</v>
      </c>
      <c r="E303" s="123">
        <f t="shared" si="55"/>
        <v>179.66666666666669</v>
      </c>
      <c r="F303" s="123">
        <f t="shared" si="54"/>
        <v>1078</v>
      </c>
      <c r="O303" s="194">
        <v>330</v>
      </c>
      <c r="P303" s="198">
        <v>375</v>
      </c>
      <c r="R303" s="1">
        <v>703</v>
      </c>
      <c r="S303" s="182">
        <f t="shared" si="53"/>
        <v>2.1303030303030304</v>
      </c>
    </row>
    <row r="304" spans="1:19" ht="16.5" outlineLevel="1" thickBot="1" x14ac:dyDescent="0.3">
      <c r="A304" s="25" t="s">
        <v>2798</v>
      </c>
      <c r="B304" s="181" t="s">
        <v>3684</v>
      </c>
      <c r="C304" s="94" t="s">
        <v>549</v>
      </c>
      <c r="D304" s="123">
        <f t="shared" si="52"/>
        <v>898.33333333333337</v>
      </c>
      <c r="E304" s="123">
        <f t="shared" si="55"/>
        <v>179.66666666666669</v>
      </c>
      <c r="F304" s="123">
        <f t="shared" si="54"/>
        <v>1078</v>
      </c>
      <c r="O304" s="194">
        <v>330</v>
      </c>
      <c r="P304" s="198">
        <v>375</v>
      </c>
      <c r="R304" s="1">
        <v>703</v>
      </c>
      <c r="S304" s="182">
        <f t="shared" si="53"/>
        <v>2.1303030303030304</v>
      </c>
    </row>
    <row r="305" spans="1:19" ht="32.25" outlineLevel="1" thickBot="1" x14ac:dyDescent="0.3">
      <c r="A305" s="25" t="s">
        <v>2799</v>
      </c>
      <c r="B305" s="181" t="s">
        <v>3685</v>
      </c>
      <c r="C305" s="94" t="s">
        <v>549</v>
      </c>
      <c r="D305" s="123">
        <f t="shared" si="52"/>
        <v>1838.3333333333335</v>
      </c>
      <c r="E305" s="123">
        <f t="shared" si="55"/>
        <v>367.66666666666674</v>
      </c>
      <c r="F305" s="123">
        <f t="shared" si="54"/>
        <v>2206</v>
      </c>
      <c r="O305" s="194">
        <v>1510</v>
      </c>
      <c r="P305" s="198">
        <v>375</v>
      </c>
      <c r="R305" s="1">
        <v>1831</v>
      </c>
      <c r="S305" s="182">
        <f t="shared" si="53"/>
        <v>1.2125827814569536</v>
      </c>
    </row>
    <row r="306" spans="1:19" ht="16.5" outlineLevel="1" thickBot="1" x14ac:dyDescent="0.3">
      <c r="A306" s="25" t="s">
        <v>2800</v>
      </c>
      <c r="B306" s="181" t="s">
        <v>3686</v>
      </c>
      <c r="C306" s="94" t="s">
        <v>549</v>
      </c>
      <c r="D306" s="123">
        <f t="shared" si="52"/>
        <v>890.83333333333337</v>
      </c>
      <c r="E306" s="123">
        <f t="shared" si="55"/>
        <v>178.16666666666669</v>
      </c>
      <c r="F306" s="123">
        <f t="shared" si="54"/>
        <v>1069</v>
      </c>
      <c r="O306" s="194">
        <v>380</v>
      </c>
      <c r="P306" s="198">
        <v>375</v>
      </c>
      <c r="R306" s="1">
        <v>694</v>
      </c>
      <c r="S306" s="182">
        <f t="shared" si="53"/>
        <v>1.8263157894736841</v>
      </c>
    </row>
    <row r="307" spans="1:19" ht="32.25" outlineLevel="1" thickBot="1" x14ac:dyDescent="0.3">
      <c r="A307" s="25" t="s">
        <v>2801</v>
      </c>
      <c r="B307" s="181" t="s">
        <v>3687</v>
      </c>
      <c r="C307" s="94" t="s">
        <v>549</v>
      </c>
      <c r="D307" s="123">
        <f t="shared" si="52"/>
        <v>890.83333333333337</v>
      </c>
      <c r="E307" s="123">
        <f t="shared" si="55"/>
        <v>178.16666666666669</v>
      </c>
      <c r="F307" s="123">
        <f t="shared" si="54"/>
        <v>1069</v>
      </c>
      <c r="O307" s="194">
        <v>380</v>
      </c>
      <c r="P307" s="198">
        <v>375</v>
      </c>
      <c r="R307" s="1">
        <v>694</v>
      </c>
      <c r="S307" s="182">
        <f t="shared" si="53"/>
        <v>1.8263157894736841</v>
      </c>
    </row>
    <row r="308" spans="1:19" ht="16.5" outlineLevel="1" thickBot="1" x14ac:dyDescent="0.3">
      <c r="A308" s="25" t="s">
        <v>2802</v>
      </c>
      <c r="B308" s="181" t="s">
        <v>3689</v>
      </c>
      <c r="C308" s="94" t="s">
        <v>549</v>
      </c>
      <c r="D308" s="123">
        <f t="shared" si="52"/>
        <v>768.33333333333337</v>
      </c>
      <c r="E308" s="123">
        <f t="shared" si="55"/>
        <v>153.66666666666669</v>
      </c>
      <c r="F308" s="123">
        <f t="shared" si="54"/>
        <v>922</v>
      </c>
      <c r="O308" s="194">
        <v>455</v>
      </c>
      <c r="P308" s="198">
        <v>375</v>
      </c>
      <c r="R308" s="1">
        <v>547</v>
      </c>
      <c r="S308" s="182">
        <f t="shared" si="53"/>
        <v>1.2021978021978021</v>
      </c>
    </row>
    <row r="309" spans="1:19" ht="16.5" outlineLevel="1" thickBot="1" x14ac:dyDescent="0.3">
      <c r="A309" s="25" t="s">
        <v>2803</v>
      </c>
      <c r="B309" s="181" t="s">
        <v>3688</v>
      </c>
      <c r="C309" s="94" t="s">
        <v>549</v>
      </c>
      <c r="D309" s="123">
        <f t="shared" si="52"/>
        <v>768.33333333333337</v>
      </c>
      <c r="E309" s="123">
        <f t="shared" si="55"/>
        <v>153.66666666666669</v>
      </c>
      <c r="F309" s="123">
        <f t="shared" si="54"/>
        <v>922</v>
      </c>
      <c r="O309" s="194">
        <v>455</v>
      </c>
      <c r="P309" s="198">
        <v>375</v>
      </c>
      <c r="R309" s="1">
        <v>547</v>
      </c>
      <c r="S309" s="182">
        <f t="shared" si="53"/>
        <v>1.2021978021978021</v>
      </c>
    </row>
    <row r="310" spans="1:19" ht="16.5" outlineLevel="1" thickBot="1" x14ac:dyDescent="0.3">
      <c r="A310" s="25" t="s">
        <v>2804</v>
      </c>
      <c r="B310" s="181" t="s">
        <v>3690</v>
      </c>
      <c r="C310" s="94" t="s">
        <v>549</v>
      </c>
      <c r="D310" s="123">
        <f t="shared" si="52"/>
        <v>910.83333333333337</v>
      </c>
      <c r="E310" s="123">
        <f t="shared" si="55"/>
        <v>182.16666666666669</v>
      </c>
      <c r="F310" s="123">
        <f>P310+R310</f>
        <v>1093</v>
      </c>
      <c r="O310" s="194">
        <v>445</v>
      </c>
      <c r="P310" s="198">
        <v>375</v>
      </c>
      <c r="R310" s="1">
        <v>718</v>
      </c>
      <c r="S310" s="182">
        <f t="shared" si="53"/>
        <v>1.6134831460674157</v>
      </c>
    </row>
    <row r="311" spans="1:19" ht="16.5" outlineLevel="1" thickBot="1" x14ac:dyDescent="0.3">
      <c r="A311" s="25" t="s">
        <v>2805</v>
      </c>
      <c r="B311" s="181" t="s">
        <v>3691</v>
      </c>
      <c r="C311" s="94" t="s">
        <v>549</v>
      </c>
      <c r="D311" s="123">
        <f t="shared" si="52"/>
        <v>910.83333333333337</v>
      </c>
      <c r="E311" s="123">
        <f t="shared" si="55"/>
        <v>182.16666666666669</v>
      </c>
      <c r="F311" s="123">
        <f t="shared" si="54"/>
        <v>1093</v>
      </c>
      <c r="O311" s="194">
        <v>445</v>
      </c>
      <c r="P311" s="198">
        <v>375</v>
      </c>
      <c r="R311" s="1">
        <v>718</v>
      </c>
      <c r="S311" s="182">
        <f t="shared" si="53"/>
        <v>1.6134831460674157</v>
      </c>
    </row>
    <row r="312" spans="1:19" ht="32.25" outlineLevel="1" thickBot="1" x14ac:dyDescent="0.3">
      <c r="A312" s="25" t="s">
        <v>2806</v>
      </c>
      <c r="B312" s="181" t="s">
        <v>3692</v>
      </c>
      <c r="C312" s="94" t="s">
        <v>549</v>
      </c>
      <c r="D312" s="123">
        <f t="shared" si="52"/>
        <v>770.83333333333337</v>
      </c>
      <c r="E312" s="123">
        <f t="shared" si="55"/>
        <v>154.16666666666669</v>
      </c>
      <c r="F312" s="123">
        <f>P312+R312</f>
        <v>925</v>
      </c>
      <c r="O312" s="194">
        <v>395</v>
      </c>
      <c r="P312" s="198">
        <v>375</v>
      </c>
      <c r="R312" s="1">
        <v>550</v>
      </c>
      <c r="S312" s="182">
        <f t="shared" si="53"/>
        <v>1.3924050632911393</v>
      </c>
    </row>
    <row r="313" spans="1:19" ht="16.5" outlineLevel="1" thickBot="1" x14ac:dyDescent="0.3">
      <c r="A313" s="25" t="s">
        <v>2807</v>
      </c>
      <c r="B313" s="181" t="s">
        <v>3693</v>
      </c>
      <c r="C313" s="94" t="s">
        <v>549</v>
      </c>
      <c r="D313" s="123">
        <f t="shared" si="52"/>
        <v>770.83333333333337</v>
      </c>
      <c r="E313" s="123">
        <f t="shared" si="55"/>
        <v>154.16666666666669</v>
      </c>
      <c r="F313" s="123">
        <f t="shared" si="54"/>
        <v>925</v>
      </c>
      <c r="O313" s="194">
        <v>395</v>
      </c>
      <c r="P313" s="198">
        <v>375</v>
      </c>
      <c r="R313" s="1">
        <v>550</v>
      </c>
      <c r="S313" s="182">
        <f t="shared" si="53"/>
        <v>1.3924050632911393</v>
      </c>
    </row>
    <row r="314" spans="1:19" ht="16.5" outlineLevel="1" thickBot="1" x14ac:dyDescent="0.3">
      <c r="A314" s="25" t="s">
        <v>2808</v>
      </c>
      <c r="B314" s="181" t="s">
        <v>3694</v>
      </c>
      <c r="C314" s="94" t="s">
        <v>549</v>
      </c>
      <c r="D314" s="123">
        <f t="shared" si="52"/>
        <v>795.83333333333337</v>
      </c>
      <c r="E314" s="123">
        <f t="shared" si="55"/>
        <v>159.16666666666669</v>
      </c>
      <c r="F314" s="123">
        <f t="shared" si="54"/>
        <v>955</v>
      </c>
      <c r="O314" s="194">
        <v>380</v>
      </c>
      <c r="P314" s="198">
        <v>375</v>
      </c>
      <c r="R314" s="1">
        <v>580</v>
      </c>
      <c r="S314" s="182">
        <f t="shared" si="53"/>
        <v>1.5263157894736843</v>
      </c>
    </row>
    <row r="315" spans="1:19" ht="16.5" outlineLevel="1" thickBot="1" x14ac:dyDescent="0.3">
      <c r="A315" s="25" t="s">
        <v>2809</v>
      </c>
      <c r="B315" s="181" t="s">
        <v>3695</v>
      </c>
      <c r="C315" s="94" t="s">
        <v>549</v>
      </c>
      <c r="D315" s="123">
        <f t="shared" si="52"/>
        <v>795.83333333333337</v>
      </c>
      <c r="E315" s="123">
        <f t="shared" si="55"/>
        <v>159.16666666666669</v>
      </c>
      <c r="F315" s="123">
        <f t="shared" si="54"/>
        <v>955</v>
      </c>
      <c r="O315" s="194">
        <v>380</v>
      </c>
      <c r="P315" s="198">
        <v>375</v>
      </c>
      <c r="R315" s="1">
        <v>580</v>
      </c>
      <c r="S315" s="182">
        <f t="shared" si="53"/>
        <v>1.5263157894736843</v>
      </c>
    </row>
    <row r="316" spans="1:19" ht="32.25" outlineLevel="1" thickBot="1" x14ac:dyDescent="0.3">
      <c r="A316" s="25" t="s">
        <v>2810</v>
      </c>
      <c r="B316" s="181" t="s">
        <v>3696</v>
      </c>
      <c r="C316" s="94" t="s">
        <v>549</v>
      </c>
      <c r="D316" s="123">
        <f t="shared" si="52"/>
        <v>795.83333333333337</v>
      </c>
      <c r="E316" s="123">
        <f t="shared" si="55"/>
        <v>159.16666666666669</v>
      </c>
      <c r="F316" s="123">
        <f t="shared" si="54"/>
        <v>955</v>
      </c>
      <c r="O316" s="194">
        <v>380</v>
      </c>
      <c r="P316" s="198">
        <v>375</v>
      </c>
      <c r="R316" s="1">
        <v>580</v>
      </c>
      <c r="S316" s="182">
        <f t="shared" si="53"/>
        <v>1.5263157894736843</v>
      </c>
    </row>
    <row r="317" spans="1:19" ht="16.5" outlineLevel="1" thickBot="1" x14ac:dyDescent="0.3">
      <c r="A317" s="25" t="s">
        <v>2811</v>
      </c>
      <c r="B317" s="181" t="s">
        <v>3698</v>
      </c>
      <c r="C317" s="94" t="s">
        <v>549</v>
      </c>
      <c r="D317" s="123">
        <f t="shared" si="52"/>
        <v>751.66666666666674</v>
      </c>
      <c r="E317" s="123">
        <f t="shared" si="55"/>
        <v>150.33333333333334</v>
      </c>
      <c r="F317" s="123">
        <f t="shared" si="54"/>
        <v>902</v>
      </c>
      <c r="O317" s="194">
        <v>380</v>
      </c>
      <c r="P317" s="198">
        <v>375</v>
      </c>
      <c r="R317" s="1">
        <v>527</v>
      </c>
      <c r="S317" s="182">
        <f t="shared" si="53"/>
        <v>1.3868421052631579</v>
      </c>
    </row>
    <row r="318" spans="1:19" ht="32.25" outlineLevel="1" thickBot="1" x14ac:dyDescent="0.3">
      <c r="A318" s="25" t="s">
        <v>2812</v>
      </c>
      <c r="B318" s="181" t="s">
        <v>3697</v>
      </c>
      <c r="C318" s="94" t="s">
        <v>549</v>
      </c>
      <c r="D318" s="123">
        <f t="shared" si="52"/>
        <v>751.66666666666674</v>
      </c>
      <c r="E318" s="123">
        <f t="shared" si="55"/>
        <v>150.33333333333334</v>
      </c>
      <c r="F318" s="123">
        <f t="shared" si="54"/>
        <v>902</v>
      </c>
      <c r="O318" s="194">
        <v>380</v>
      </c>
      <c r="P318" s="198">
        <v>375</v>
      </c>
      <c r="R318" s="1">
        <v>527</v>
      </c>
      <c r="S318" s="182">
        <f t="shared" si="53"/>
        <v>1.3868421052631579</v>
      </c>
    </row>
    <row r="319" spans="1:19" ht="16.5" outlineLevel="1" thickBot="1" x14ac:dyDescent="0.3">
      <c r="A319" s="25" t="s">
        <v>2813</v>
      </c>
      <c r="B319" s="181" t="s">
        <v>2867</v>
      </c>
      <c r="C319" s="94" t="s">
        <v>549</v>
      </c>
      <c r="D319" s="123">
        <f t="shared" si="52"/>
        <v>808.33333333333337</v>
      </c>
      <c r="E319" s="123">
        <f t="shared" si="55"/>
        <v>161.66666666666669</v>
      </c>
      <c r="F319" s="123">
        <f t="shared" si="54"/>
        <v>970</v>
      </c>
      <c r="O319" s="194">
        <v>420</v>
      </c>
      <c r="P319" s="198">
        <v>375</v>
      </c>
      <c r="R319" s="1">
        <v>595</v>
      </c>
      <c r="S319" s="182">
        <f t="shared" si="53"/>
        <v>1.4166666666666667</v>
      </c>
    </row>
    <row r="320" spans="1:19" ht="32.25" outlineLevel="1" thickBot="1" x14ac:dyDescent="0.3">
      <c r="A320" s="25" t="s">
        <v>2814</v>
      </c>
      <c r="B320" s="181" t="s">
        <v>3699</v>
      </c>
      <c r="C320" s="94" t="s">
        <v>549</v>
      </c>
      <c r="D320" s="123">
        <f t="shared" si="52"/>
        <v>770.83333333333337</v>
      </c>
      <c r="E320" s="123">
        <f t="shared" si="55"/>
        <v>154.16666666666669</v>
      </c>
      <c r="F320" s="123">
        <f t="shared" si="54"/>
        <v>925</v>
      </c>
      <c r="O320" s="194">
        <v>390</v>
      </c>
      <c r="P320" s="198">
        <v>375</v>
      </c>
      <c r="R320" s="1">
        <v>550</v>
      </c>
      <c r="S320" s="182">
        <f t="shared" si="53"/>
        <v>1.4102564102564104</v>
      </c>
    </row>
    <row r="321" spans="1:19" ht="16.5" outlineLevel="1" thickBot="1" x14ac:dyDescent="0.3">
      <c r="A321" s="25" t="s">
        <v>2815</v>
      </c>
      <c r="B321" s="181" t="s">
        <v>3700</v>
      </c>
      <c r="C321" s="94" t="s">
        <v>549</v>
      </c>
      <c r="D321" s="123">
        <f t="shared" si="52"/>
        <v>770.83333333333337</v>
      </c>
      <c r="E321" s="123">
        <f t="shared" si="55"/>
        <v>154.16666666666669</v>
      </c>
      <c r="F321" s="123">
        <f t="shared" si="54"/>
        <v>925</v>
      </c>
      <c r="O321" s="194">
        <v>390</v>
      </c>
      <c r="P321" s="198">
        <v>375</v>
      </c>
      <c r="R321" s="1">
        <v>550</v>
      </c>
      <c r="S321" s="182">
        <f t="shared" si="53"/>
        <v>1.4102564102564104</v>
      </c>
    </row>
    <row r="322" spans="1:19" ht="32.25" outlineLevel="1" thickBot="1" x14ac:dyDescent="0.3">
      <c r="A322" s="25" t="s">
        <v>2816</v>
      </c>
      <c r="B322" s="181" t="s">
        <v>3701</v>
      </c>
      <c r="C322" s="94" t="s">
        <v>549</v>
      </c>
      <c r="D322" s="123">
        <f t="shared" si="52"/>
        <v>853.33333333333337</v>
      </c>
      <c r="E322" s="123">
        <f t="shared" si="55"/>
        <v>170.66666666666669</v>
      </c>
      <c r="F322" s="123">
        <f t="shared" si="54"/>
        <v>1024</v>
      </c>
      <c r="O322" s="194">
        <v>445</v>
      </c>
      <c r="P322" s="198">
        <v>375</v>
      </c>
      <c r="R322" s="1">
        <v>649</v>
      </c>
      <c r="S322" s="182">
        <f t="shared" si="53"/>
        <v>1.4584269662921348</v>
      </c>
    </row>
    <row r="323" spans="1:19" ht="16.5" outlineLevel="1" thickBot="1" x14ac:dyDescent="0.3">
      <c r="A323" s="25" t="s">
        <v>2817</v>
      </c>
      <c r="B323" s="181" t="s">
        <v>3702</v>
      </c>
      <c r="C323" s="94" t="s">
        <v>549</v>
      </c>
      <c r="D323" s="123">
        <f t="shared" si="52"/>
        <v>853.33333333333337</v>
      </c>
      <c r="E323" s="123">
        <f t="shared" si="55"/>
        <v>170.66666666666669</v>
      </c>
      <c r="F323" s="123">
        <f t="shared" si="54"/>
        <v>1024</v>
      </c>
      <c r="O323" s="194">
        <v>445</v>
      </c>
      <c r="P323" s="198">
        <v>375</v>
      </c>
      <c r="R323" s="1">
        <v>649</v>
      </c>
      <c r="S323" s="182">
        <f t="shared" si="53"/>
        <v>1.4584269662921348</v>
      </c>
    </row>
    <row r="324" spans="1:19" ht="32.25" outlineLevel="1" thickBot="1" x14ac:dyDescent="0.3">
      <c r="A324" s="25" t="s">
        <v>2818</v>
      </c>
      <c r="B324" s="181" t="s">
        <v>3703</v>
      </c>
      <c r="C324" s="94" t="s">
        <v>549</v>
      </c>
      <c r="D324" s="123">
        <f t="shared" si="52"/>
        <v>810.83333333333337</v>
      </c>
      <c r="E324" s="123">
        <f t="shared" si="55"/>
        <v>162.16666666666669</v>
      </c>
      <c r="F324" s="123">
        <f>P324+R324</f>
        <v>973</v>
      </c>
      <c r="O324" s="194">
        <v>515</v>
      </c>
      <c r="P324" s="198">
        <v>375</v>
      </c>
      <c r="R324" s="1">
        <v>598</v>
      </c>
      <c r="S324" s="182">
        <f t="shared" si="53"/>
        <v>1.1611650485436893</v>
      </c>
    </row>
    <row r="325" spans="1:19" ht="16.5" outlineLevel="1" thickBot="1" x14ac:dyDescent="0.3">
      <c r="A325" s="25" t="s">
        <v>2819</v>
      </c>
      <c r="B325" s="181" t="s">
        <v>3704</v>
      </c>
      <c r="C325" s="94" t="s">
        <v>549</v>
      </c>
      <c r="D325" s="123">
        <f t="shared" si="52"/>
        <v>810.83333333333337</v>
      </c>
      <c r="E325" s="123">
        <f t="shared" si="55"/>
        <v>162.16666666666669</v>
      </c>
      <c r="F325" s="123">
        <f t="shared" si="54"/>
        <v>973</v>
      </c>
      <c r="O325" s="194">
        <v>515</v>
      </c>
      <c r="P325" s="198">
        <v>375</v>
      </c>
      <c r="R325" s="1">
        <v>598</v>
      </c>
      <c r="S325" s="182">
        <f t="shared" si="53"/>
        <v>1.1611650485436893</v>
      </c>
    </row>
    <row r="326" spans="1:19" ht="16.5" outlineLevel="1" thickBot="1" x14ac:dyDescent="0.3">
      <c r="A326" s="25" t="s">
        <v>2820</v>
      </c>
      <c r="B326" s="181" t="s">
        <v>3705</v>
      </c>
      <c r="C326" s="94" t="s">
        <v>549</v>
      </c>
      <c r="D326" s="123">
        <f t="shared" si="52"/>
        <v>768.33333333333337</v>
      </c>
      <c r="E326" s="123">
        <f t="shared" si="55"/>
        <v>153.66666666666669</v>
      </c>
      <c r="F326" s="123">
        <f t="shared" si="54"/>
        <v>922</v>
      </c>
      <c r="O326" s="194">
        <v>320</v>
      </c>
      <c r="P326" s="198">
        <v>375</v>
      </c>
      <c r="R326" s="1">
        <v>547</v>
      </c>
      <c r="S326" s="182">
        <f t="shared" si="53"/>
        <v>1.7093750000000001</v>
      </c>
    </row>
    <row r="327" spans="1:19" ht="32.25" outlineLevel="1" thickBot="1" x14ac:dyDescent="0.3">
      <c r="A327" s="25" t="s">
        <v>2821</v>
      </c>
      <c r="B327" s="181" t="s">
        <v>3706</v>
      </c>
      <c r="C327" s="94" t="s">
        <v>549</v>
      </c>
      <c r="D327" s="123">
        <f t="shared" si="52"/>
        <v>768.33333333333337</v>
      </c>
      <c r="E327" s="123">
        <f t="shared" si="55"/>
        <v>153.66666666666669</v>
      </c>
      <c r="F327" s="123">
        <f t="shared" si="54"/>
        <v>922</v>
      </c>
      <c r="O327" s="194">
        <v>320</v>
      </c>
      <c r="P327" s="198">
        <v>375</v>
      </c>
      <c r="R327" s="1">
        <v>547</v>
      </c>
      <c r="S327" s="182">
        <f t="shared" si="53"/>
        <v>1.7093750000000001</v>
      </c>
    </row>
    <row r="328" spans="1:19" ht="16.5" outlineLevel="1" thickBot="1" x14ac:dyDescent="0.3">
      <c r="A328" s="25" t="s">
        <v>2822</v>
      </c>
      <c r="B328" s="181" t="s">
        <v>3707</v>
      </c>
      <c r="C328" s="94" t="s">
        <v>549</v>
      </c>
      <c r="D328" s="123">
        <f t="shared" si="52"/>
        <v>768.33333333333337</v>
      </c>
      <c r="E328" s="123">
        <f t="shared" si="55"/>
        <v>153.66666666666669</v>
      </c>
      <c r="F328" s="123">
        <f t="shared" si="54"/>
        <v>922</v>
      </c>
      <c r="O328" s="194">
        <v>320</v>
      </c>
      <c r="P328" s="198">
        <v>375</v>
      </c>
      <c r="R328" s="1">
        <v>547</v>
      </c>
      <c r="S328" s="182">
        <f t="shared" si="53"/>
        <v>1.7093750000000001</v>
      </c>
    </row>
    <row r="329" spans="1:19" ht="32.25" outlineLevel="1" thickBot="1" x14ac:dyDescent="0.3">
      <c r="A329" s="25" t="s">
        <v>2823</v>
      </c>
      <c r="B329" s="181" t="s">
        <v>3708</v>
      </c>
      <c r="C329" s="94" t="s">
        <v>549</v>
      </c>
      <c r="D329" s="123">
        <f t="shared" si="52"/>
        <v>706.66666666666674</v>
      </c>
      <c r="E329" s="123">
        <f t="shared" si="55"/>
        <v>141.33333333333334</v>
      </c>
      <c r="F329" s="123">
        <f t="shared" si="54"/>
        <v>848</v>
      </c>
      <c r="O329" s="194">
        <v>325</v>
      </c>
      <c r="P329" s="198">
        <v>375</v>
      </c>
      <c r="R329" s="1">
        <v>473</v>
      </c>
      <c r="S329" s="182">
        <f t="shared" si="53"/>
        <v>1.4553846153846153</v>
      </c>
    </row>
    <row r="330" spans="1:19" ht="16.5" outlineLevel="1" thickBot="1" x14ac:dyDescent="0.3">
      <c r="A330" s="25" t="s">
        <v>2824</v>
      </c>
      <c r="B330" s="181" t="s">
        <v>3709</v>
      </c>
      <c r="C330" s="94" t="s">
        <v>549</v>
      </c>
      <c r="D330" s="123">
        <f t="shared" si="52"/>
        <v>706.66666666666674</v>
      </c>
      <c r="E330" s="123">
        <f t="shared" si="55"/>
        <v>141.33333333333334</v>
      </c>
      <c r="F330" s="123">
        <f t="shared" si="54"/>
        <v>848</v>
      </c>
      <c r="O330" s="194">
        <v>325</v>
      </c>
      <c r="P330" s="198">
        <v>375</v>
      </c>
      <c r="R330" s="1">
        <v>473</v>
      </c>
      <c r="S330" s="182">
        <f t="shared" si="53"/>
        <v>1.4553846153846153</v>
      </c>
    </row>
    <row r="331" spans="1:19" ht="16.5" outlineLevel="1" thickBot="1" x14ac:dyDescent="0.3">
      <c r="A331" s="25" t="s">
        <v>2825</v>
      </c>
      <c r="B331" s="181" t="s">
        <v>3710</v>
      </c>
      <c r="C331" s="94" t="s">
        <v>549</v>
      </c>
      <c r="D331" s="123">
        <f t="shared" si="52"/>
        <v>701.66666666666674</v>
      </c>
      <c r="E331" s="123">
        <f t="shared" si="55"/>
        <v>140.33333333333334</v>
      </c>
      <c r="F331" s="123">
        <f t="shared" si="54"/>
        <v>842</v>
      </c>
      <c r="O331" s="194">
        <v>390</v>
      </c>
      <c r="P331" s="198">
        <v>375</v>
      </c>
      <c r="R331" s="1">
        <v>467</v>
      </c>
      <c r="S331" s="182">
        <f t="shared" si="53"/>
        <v>1.1974358974358974</v>
      </c>
    </row>
    <row r="332" spans="1:19" ht="19.5" thickBot="1" x14ac:dyDescent="0.3">
      <c r="A332" s="407" t="s">
        <v>2868</v>
      </c>
      <c r="B332" s="452"/>
      <c r="C332" s="452"/>
      <c r="D332" s="452"/>
      <c r="E332" s="452"/>
      <c r="F332" s="409"/>
      <c r="P332" s="198"/>
      <c r="S332" s="182"/>
    </row>
    <row r="333" spans="1:19" ht="48" outlineLevel="1" thickBot="1" x14ac:dyDescent="0.3">
      <c r="A333" s="25" t="s">
        <v>2875</v>
      </c>
      <c r="B333" s="181" t="s">
        <v>2890</v>
      </c>
      <c r="C333" s="94" t="s">
        <v>549</v>
      </c>
      <c r="D333" s="123">
        <f t="shared" ref="D333:D343" si="56">F333/1.2</f>
        <v>1410.8333333333335</v>
      </c>
      <c r="E333" s="123">
        <f t="shared" si="55"/>
        <v>282.16666666666669</v>
      </c>
      <c r="F333" s="123">
        <f>P333+R333</f>
        <v>1693</v>
      </c>
      <c r="O333" s="194">
        <v>1135</v>
      </c>
      <c r="P333" s="198">
        <v>375</v>
      </c>
      <c r="R333" s="367">
        <v>1318</v>
      </c>
      <c r="S333" s="182">
        <f t="shared" ref="S333:S395" si="57">R333/O333</f>
        <v>1.1612334801762114</v>
      </c>
    </row>
    <row r="334" spans="1:19" ht="48" outlineLevel="1" thickBot="1" x14ac:dyDescent="0.3">
      <c r="A334" s="25" t="s">
        <v>2876</v>
      </c>
      <c r="B334" s="181" t="s">
        <v>2891</v>
      </c>
      <c r="C334" s="94" t="s">
        <v>549</v>
      </c>
      <c r="D334" s="123">
        <f t="shared" si="56"/>
        <v>1401.6666666666667</v>
      </c>
      <c r="E334" s="123">
        <f t="shared" si="55"/>
        <v>280.33333333333337</v>
      </c>
      <c r="F334" s="123">
        <f t="shared" ref="F334:F343" si="58">P334+R334</f>
        <v>1682</v>
      </c>
      <c r="O334" s="194">
        <v>1060</v>
      </c>
      <c r="P334" s="198">
        <v>375</v>
      </c>
      <c r="R334" s="367">
        <v>1307</v>
      </c>
      <c r="S334" s="182">
        <f t="shared" si="57"/>
        <v>1.2330188679245282</v>
      </c>
    </row>
    <row r="335" spans="1:19" ht="67.5" customHeight="1" outlineLevel="1" thickBot="1" x14ac:dyDescent="0.3">
      <c r="A335" s="25" t="s">
        <v>2877</v>
      </c>
      <c r="B335" s="181" t="s">
        <v>2892</v>
      </c>
      <c r="C335" s="94" t="s">
        <v>549</v>
      </c>
      <c r="D335" s="123">
        <f t="shared" si="56"/>
        <v>3056.666666666667</v>
      </c>
      <c r="E335" s="123">
        <f t="shared" ref="E335:E398" si="59">D335*0.2</f>
        <v>611.33333333333337</v>
      </c>
      <c r="F335" s="123">
        <f t="shared" si="58"/>
        <v>3668</v>
      </c>
      <c r="O335" s="194">
        <v>2140</v>
      </c>
      <c r="P335" s="198">
        <v>375</v>
      </c>
      <c r="R335" s="367">
        <v>3293</v>
      </c>
      <c r="S335" s="182">
        <f t="shared" si="57"/>
        <v>1.5387850467289719</v>
      </c>
    </row>
    <row r="336" spans="1:19" ht="56.25" customHeight="1" outlineLevel="1" thickBot="1" x14ac:dyDescent="0.3">
      <c r="A336" s="25" t="s">
        <v>2878</v>
      </c>
      <c r="B336" s="181" t="s">
        <v>2886</v>
      </c>
      <c r="C336" s="94" t="s">
        <v>549</v>
      </c>
      <c r="D336" s="123">
        <f t="shared" si="56"/>
        <v>1978.3333333333335</v>
      </c>
      <c r="E336" s="123">
        <f t="shared" si="59"/>
        <v>395.66666666666674</v>
      </c>
      <c r="F336" s="123">
        <f t="shared" si="58"/>
        <v>2374</v>
      </c>
      <c r="O336" s="194">
        <v>1260</v>
      </c>
      <c r="P336" s="198">
        <v>375</v>
      </c>
      <c r="R336" s="367">
        <v>1999</v>
      </c>
      <c r="S336" s="182">
        <f t="shared" si="57"/>
        <v>1.5865079365079364</v>
      </c>
    </row>
    <row r="337" spans="1:19" ht="48" outlineLevel="1" thickBot="1" x14ac:dyDescent="0.3">
      <c r="A337" s="25" t="s">
        <v>2879</v>
      </c>
      <c r="B337" s="181" t="s">
        <v>2893</v>
      </c>
      <c r="C337" s="94" t="s">
        <v>549</v>
      </c>
      <c r="D337" s="123">
        <f t="shared" si="56"/>
        <v>1978.3333333333335</v>
      </c>
      <c r="E337" s="123">
        <f t="shared" si="59"/>
        <v>395.66666666666674</v>
      </c>
      <c r="F337" s="123">
        <f t="shared" si="58"/>
        <v>2374</v>
      </c>
      <c r="O337" s="194">
        <v>1260</v>
      </c>
      <c r="P337" s="198">
        <v>375</v>
      </c>
      <c r="R337" s="367">
        <v>1999</v>
      </c>
      <c r="S337" s="182">
        <f t="shared" si="57"/>
        <v>1.5865079365079364</v>
      </c>
    </row>
    <row r="338" spans="1:19" ht="79.5" outlineLevel="1" thickBot="1" x14ac:dyDescent="0.3">
      <c r="A338" s="25" t="s">
        <v>2880</v>
      </c>
      <c r="B338" s="181" t="s">
        <v>2887</v>
      </c>
      <c r="C338" s="94" t="s">
        <v>549</v>
      </c>
      <c r="D338" s="123">
        <f t="shared" si="56"/>
        <v>3623.3333333333335</v>
      </c>
      <c r="E338" s="123">
        <f t="shared" si="59"/>
        <v>724.66666666666674</v>
      </c>
      <c r="F338" s="123">
        <f t="shared" si="58"/>
        <v>4348</v>
      </c>
      <c r="O338" s="194">
        <v>1890</v>
      </c>
      <c r="P338" s="198">
        <v>375</v>
      </c>
      <c r="R338" s="367">
        <v>3973</v>
      </c>
      <c r="S338" s="182">
        <f t="shared" si="57"/>
        <v>2.102116402116402</v>
      </c>
    </row>
    <row r="339" spans="1:19" ht="79.5" outlineLevel="1" thickBot="1" x14ac:dyDescent="0.3">
      <c r="A339" s="25" t="s">
        <v>2881</v>
      </c>
      <c r="B339" s="181" t="s">
        <v>2894</v>
      </c>
      <c r="C339" s="94" t="s">
        <v>549</v>
      </c>
      <c r="D339" s="123">
        <f t="shared" si="56"/>
        <v>3623.3333333333335</v>
      </c>
      <c r="E339" s="123">
        <f t="shared" si="59"/>
        <v>724.66666666666674</v>
      </c>
      <c r="F339" s="123">
        <f t="shared" si="58"/>
        <v>4348</v>
      </c>
      <c r="O339" s="194">
        <v>1890</v>
      </c>
      <c r="P339" s="198">
        <v>375</v>
      </c>
      <c r="R339" s="367">
        <v>3973</v>
      </c>
      <c r="S339" s="182">
        <f t="shared" si="57"/>
        <v>2.102116402116402</v>
      </c>
    </row>
    <row r="340" spans="1:19" ht="95.25" outlineLevel="1" thickBot="1" x14ac:dyDescent="0.3">
      <c r="A340" s="25" t="s">
        <v>2882</v>
      </c>
      <c r="B340" s="181" t="s">
        <v>2888</v>
      </c>
      <c r="C340" s="94" t="s">
        <v>549</v>
      </c>
      <c r="D340" s="123">
        <f t="shared" si="56"/>
        <v>6065.8333333333339</v>
      </c>
      <c r="E340" s="123">
        <f t="shared" si="59"/>
        <v>1213.1666666666667</v>
      </c>
      <c r="F340" s="123">
        <f>P340+R340</f>
        <v>7279</v>
      </c>
      <c r="O340" s="194">
        <v>3710</v>
      </c>
      <c r="P340" s="198">
        <v>375</v>
      </c>
      <c r="R340" s="367">
        <v>6904</v>
      </c>
      <c r="S340" s="182">
        <f t="shared" si="57"/>
        <v>1.8609164420485176</v>
      </c>
    </row>
    <row r="341" spans="1:19" ht="32.25" outlineLevel="1" thickBot="1" x14ac:dyDescent="0.3">
      <c r="A341" s="25" t="s">
        <v>2883</v>
      </c>
      <c r="B341" s="181" t="s">
        <v>2889</v>
      </c>
      <c r="C341" s="94" t="s">
        <v>549</v>
      </c>
      <c r="D341" s="123">
        <f t="shared" si="56"/>
        <v>1607.5</v>
      </c>
      <c r="E341" s="123">
        <f t="shared" si="59"/>
        <v>321.5</v>
      </c>
      <c r="F341" s="123">
        <f t="shared" si="58"/>
        <v>1929</v>
      </c>
      <c r="O341" s="194">
        <v>1235</v>
      </c>
      <c r="P341" s="198">
        <v>375</v>
      </c>
      <c r="R341" s="367">
        <v>1554</v>
      </c>
      <c r="S341" s="182">
        <f t="shared" si="57"/>
        <v>1.2582995951417004</v>
      </c>
    </row>
    <row r="342" spans="1:19" ht="48" outlineLevel="1" thickBot="1" x14ac:dyDescent="0.3">
      <c r="A342" s="25" t="s">
        <v>2884</v>
      </c>
      <c r="B342" s="181" t="s">
        <v>2895</v>
      </c>
      <c r="C342" s="94" t="s">
        <v>549</v>
      </c>
      <c r="D342" s="123">
        <f t="shared" si="56"/>
        <v>2443.3333333333335</v>
      </c>
      <c r="E342" s="123">
        <f t="shared" si="59"/>
        <v>488.66666666666674</v>
      </c>
      <c r="F342" s="123">
        <f t="shared" si="58"/>
        <v>2932</v>
      </c>
      <c r="O342" s="194">
        <v>2215</v>
      </c>
      <c r="P342" s="198">
        <v>375</v>
      </c>
      <c r="R342" s="367">
        <v>2557</v>
      </c>
      <c r="S342" s="182">
        <f t="shared" si="57"/>
        <v>1.1544018058690746</v>
      </c>
    </row>
    <row r="343" spans="1:19" ht="79.5" outlineLevel="1" thickBot="1" x14ac:dyDescent="0.3">
      <c r="A343" s="25" t="s">
        <v>2885</v>
      </c>
      <c r="B343" s="181" t="s">
        <v>2896</v>
      </c>
      <c r="C343" s="94" t="s">
        <v>549</v>
      </c>
      <c r="D343" s="123">
        <f t="shared" si="56"/>
        <v>3901.666666666667</v>
      </c>
      <c r="E343" s="123">
        <f t="shared" si="59"/>
        <v>780.33333333333348</v>
      </c>
      <c r="F343" s="123">
        <f t="shared" si="58"/>
        <v>4682</v>
      </c>
      <c r="O343" s="194">
        <v>3250</v>
      </c>
      <c r="P343" s="198">
        <v>375</v>
      </c>
      <c r="R343" s="367">
        <v>4307</v>
      </c>
      <c r="S343" s="182">
        <f t="shared" si="57"/>
        <v>1.3252307692307692</v>
      </c>
    </row>
    <row r="344" spans="1:19" ht="19.5" thickBot="1" x14ac:dyDescent="0.3">
      <c r="A344" s="407" t="s">
        <v>2869</v>
      </c>
      <c r="B344" s="452"/>
      <c r="C344" s="452"/>
      <c r="D344" s="452"/>
      <c r="E344" s="452"/>
      <c r="F344" s="409"/>
      <c r="P344" s="198"/>
      <c r="S344" s="182"/>
    </row>
    <row r="345" spans="1:19" ht="32.25" outlineLevel="1" thickBot="1" x14ac:dyDescent="0.3">
      <c r="A345" s="25" t="s">
        <v>2910</v>
      </c>
      <c r="B345" s="181" t="s">
        <v>2831</v>
      </c>
      <c r="C345" s="94" t="s">
        <v>549</v>
      </c>
      <c r="D345" s="123">
        <f t="shared" ref="D345:D403" si="60">F345/1.2</f>
        <v>942.5</v>
      </c>
      <c r="E345" s="123">
        <f t="shared" si="59"/>
        <v>188.5</v>
      </c>
      <c r="F345" s="123">
        <f>P345+R345</f>
        <v>1131</v>
      </c>
      <c r="O345" s="194">
        <v>630</v>
      </c>
      <c r="P345" s="198">
        <v>375</v>
      </c>
      <c r="R345" s="367">
        <v>756</v>
      </c>
      <c r="S345" s="182">
        <f t="shared" si="57"/>
        <v>1.2</v>
      </c>
    </row>
    <row r="346" spans="1:19" ht="32.25" outlineLevel="1" thickBot="1" x14ac:dyDescent="0.3">
      <c r="A346" s="25" t="s">
        <v>2911</v>
      </c>
      <c r="B346" s="181" t="s">
        <v>2760</v>
      </c>
      <c r="C346" s="94" t="s">
        <v>549</v>
      </c>
      <c r="D346" s="123">
        <f t="shared" si="60"/>
        <v>1838.3333333333335</v>
      </c>
      <c r="E346" s="123">
        <f t="shared" si="59"/>
        <v>367.66666666666674</v>
      </c>
      <c r="F346" s="123">
        <f t="shared" ref="F346:F357" si="61">P346+R346</f>
        <v>2206</v>
      </c>
      <c r="O346" s="194">
        <v>1560</v>
      </c>
      <c r="P346" s="198">
        <v>375</v>
      </c>
      <c r="R346" s="367">
        <v>1831</v>
      </c>
      <c r="S346" s="182">
        <f t="shared" si="57"/>
        <v>1.1737179487179488</v>
      </c>
    </row>
    <row r="347" spans="1:19" ht="16.5" outlineLevel="1" thickBot="1" x14ac:dyDescent="0.3">
      <c r="A347" s="25" t="s">
        <v>2912</v>
      </c>
      <c r="B347" s="181" t="s">
        <v>2832</v>
      </c>
      <c r="C347" s="94" t="s">
        <v>549</v>
      </c>
      <c r="D347" s="123">
        <f t="shared" si="60"/>
        <v>1838.3333333333335</v>
      </c>
      <c r="E347" s="123">
        <f t="shared" si="59"/>
        <v>367.66666666666674</v>
      </c>
      <c r="F347" s="123">
        <f t="shared" si="61"/>
        <v>2206</v>
      </c>
      <c r="O347" s="194">
        <v>1560</v>
      </c>
      <c r="P347" s="198">
        <v>375</v>
      </c>
      <c r="R347" s="367">
        <v>1831</v>
      </c>
      <c r="S347" s="182">
        <f t="shared" si="57"/>
        <v>1.1737179487179488</v>
      </c>
    </row>
    <row r="348" spans="1:19" ht="16.5" outlineLevel="1" thickBot="1" x14ac:dyDescent="0.3">
      <c r="A348" s="25" t="s">
        <v>2913</v>
      </c>
      <c r="B348" s="181" t="s">
        <v>2833</v>
      </c>
      <c r="C348" s="94" t="s">
        <v>549</v>
      </c>
      <c r="D348" s="123">
        <f t="shared" si="60"/>
        <v>1838.3333333333335</v>
      </c>
      <c r="E348" s="123">
        <f t="shared" si="59"/>
        <v>367.66666666666674</v>
      </c>
      <c r="F348" s="123">
        <f t="shared" si="61"/>
        <v>2206</v>
      </c>
      <c r="O348" s="194">
        <v>1560</v>
      </c>
      <c r="P348" s="198">
        <v>375</v>
      </c>
      <c r="R348" s="367">
        <v>1831</v>
      </c>
      <c r="S348" s="182">
        <f t="shared" si="57"/>
        <v>1.1737179487179488</v>
      </c>
    </row>
    <row r="349" spans="1:19" ht="16.5" outlineLevel="1" thickBot="1" x14ac:dyDescent="0.3">
      <c r="A349" s="25" t="s">
        <v>2914</v>
      </c>
      <c r="B349" s="181" t="s">
        <v>2897</v>
      </c>
      <c r="C349" s="94" t="s">
        <v>549</v>
      </c>
      <c r="D349" s="123">
        <f t="shared" si="60"/>
        <v>1838.3333333333335</v>
      </c>
      <c r="E349" s="123">
        <f t="shared" si="59"/>
        <v>367.66666666666674</v>
      </c>
      <c r="F349" s="123">
        <f t="shared" si="61"/>
        <v>2206</v>
      </c>
      <c r="O349" s="194">
        <v>1560</v>
      </c>
      <c r="P349" s="198">
        <v>375</v>
      </c>
      <c r="R349" s="367">
        <v>1831</v>
      </c>
      <c r="S349" s="182">
        <f t="shared" si="57"/>
        <v>1.1737179487179488</v>
      </c>
    </row>
    <row r="350" spans="1:19" ht="16.5" outlineLevel="1" thickBot="1" x14ac:dyDescent="0.3">
      <c r="A350" s="25" t="s">
        <v>2915</v>
      </c>
      <c r="B350" s="181" t="s">
        <v>3711</v>
      </c>
      <c r="C350" s="94" t="s">
        <v>549</v>
      </c>
      <c r="D350" s="123">
        <f t="shared" si="60"/>
        <v>652.5</v>
      </c>
      <c r="E350" s="123">
        <f t="shared" si="59"/>
        <v>130.5</v>
      </c>
      <c r="F350" s="123">
        <f t="shared" si="61"/>
        <v>783</v>
      </c>
      <c r="O350" s="194">
        <v>325</v>
      </c>
      <c r="P350" s="198">
        <v>375</v>
      </c>
      <c r="R350" s="367">
        <v>408</v>
      </c>
      <c r="S350" s="182">
        <f t="shared" si="57"/>
        <v>1.2553846153846153</v>
      </c>
    </row>
    <row r="351" spans="1:19" ht="32.25" outlineLevel="1" thickBot="1" x14ac:dyDescent="0.3">
      <c r="A351" s="25" t="s">
        <v>2916</v>
      </c>
      <c r="B351" s="181" t="s">
        <v>3712</v>
      </c>
      <c r="C351" s="94" t="s">
        <v>549</v>
      </c>
      <c r="D351" s="123">
        <f t="shared" si="60"/>
        <v>696.66666666666674</v>
      </c>
      <c r="E351" s="123">
        <f t="shared" si="59"/>
        <v>139.33333333333334</v>
      </c>
      <c r="F351" s="123">
        <f t="shared" si="61"/>
        <v>836</v>
      </c>
      <c r="O351" s="194">
        <v>390</v>
      </c>
      <c r="P351" s="198">
        <v>375</v>
      </c>
      <c r="R351" s="367">
        <v>461</v>
      </c>
      <c r="S351" s="182">
        <f t="shared" si="57"/>
        <v>1.1820512820512821</v>
      </c>
    </row>
    <row r="352" spans="1:19" ht="32.25" outlineLevel="1" thickBot="1" x14ac:dyDescent="0.3">
      <c r="A352" s="25" t="s">
        <v>2917</v>
      </c>
      <c r="B352" s="181" t="s">
        <v>3713</v>
      </c>
      <c r="C352" s="94" t="s">
        <v>549</v>
      </c>
      <c r="D352" s="123">
        <f t="shared" si="60"/>
        <v>656.66666666666674</v>
      </c>
      <c r="E352" s="123">
        <f t="shared" si="59"/>
        <v>131.33333333333334</v>
      </c>
      <c r="F352" s="123">
        <f t="shared" si="61"/>
        <v>788</v>
      </c>
      <c r="O352" s="194">
        <v>325</v>
      </c>
      <c r="P352" s="198">
        <v>375</v>
      </c>
      <c r="R352" s="367">
        <v>413</v>
      </c>
      <c r="S352" s="182">
        <f t="shared" si="57"/>
        <v>1.2707692307692309</v>
      </c>
    </row>
    <row r="353" spans="1:19" ht="32.25" outlineLevel="1" thickBot="1" x14ac:dyDescent="0.3">
      <c r="A353" s="25" t="s">
        <v>2918</v>
      </c>
      <c r="B353" s="181" t="s">
        <v>3714</v>
      </c>
      <c r="C353" s="94" t="s">
        <v>549</v>
      </c>
      <c r="D353" s="123">
        <f t="shared" si="60"/>
        <v>656.66666666666674</v>
      </c>
      <c r="E353" s="123">
        <f t="shared" si="59"/>
        <v>131.33333333333334</v>
      </c>
      <c r="F353" s="123">
        <f t="shared" si="61"/>
        <v>788</v>
      </c>
      <c r="O353" s="194">
        <v>325</v>
      </c>
      <c r="P353" s="198">
        <v>375</v>
      </c>
      <c r="R353" s="367">
        <v>413</v>
      </c>
      <c r="S353" s="182">
        <f t="shared" si="57"/>
        <v>1.2707692307692309</v>
      </c>
    </row>
    <row r="354" spans="1:19" ht="16.5" outlineLevel="1" thickBot="1" x14ac:dyDescent="0.3">
      <c r="A354" s="25" t="s">
        <v>2919</v>
      </c>
      <c r="B354" s="181" t="s">
        <v>2899</v>
      </c>
      <c r="C354" s="94" t="s">
        <v>549</v>
      </c>
      <c r="D354" s="123">
        <f t="shared" si="60"/>
        <v>708.33333333333337</v>
      </c>
      <c r="E354" s="123">
        <f t="shared" si="59"/>
        <v>141.66666666666669</v>
      </c>
      <c r="F354" s="123">
        <f t="shared" si="61"/>
        <v>850</v>
      </c>
      <c r="O354" s="194">
        <v>405</v>
      </c>
      <c r="P354" s="198">
        <v>375</v>
      </c>
      <c r="R354" s="367">
        <v>475</v>
      </c>
      <c r="S354" s="182">
        <f t="shared" si="57"/>
        <v>1.1728395061728396</v>
      </c>
    </row>
    <row r="355" spans="1:19" ht="16.5" outlineLevel="1" thickBot="1" x14ac:dyDescent="0.3">
      <c r="A355" s="25" t="s">
        <v>2920</v>
      </c>
      <c r="B355" s="181" t="s">
        <v>2900</v>
      </c>
      <c r="C355" s="94" t="s">
        <v>549</v>
      </c>
      <c r="D355" s="123">
        <f t="shared" si="60"/>
        <v>690.83333333333337</v>
      </c>
      <c r="E355" s="123">
        <f t="shared" si="59"/>
        <v>138.16666666666669</v>
      </c>
      <c r="F355" s="123">
        <f t="shared" si="61"/>
        <v>829</v>
      </c>
      <c r="O355" s="194">
        <v>390</v>
      </c>
      <c r="P355" s="198">
        <v>375</v>
      </c>
      <c r="R355" s="367">
        <v>454</v>
      </c>
      <c r="S355" s="182">
        <f t="shared" si="57"/>
        <v>1.1641025641025642</v>
      </c>
    </row>
    <row r="356" spans="1:19" ht="16.5" outlineLevel="1" thickBot="1" x14ac:dyDescent="0.3">
      <c r="A356" s="25" t="s">
        <v>2921</v>
      </c>
      <c r="B356" s="181" t="s">
        <v>2901</v>
      </c>
      <c r="C356" s="94" t="s">
        <v>549</v>
      </c>
      <c r="D356" s="123">
        <f t="shared" si="60"/>
        <v>690.83333333333337</v>
      </c>
      <c r="E356" s="123">
        <f t="shared" si="59"/>
        <v>138.16666666666669</v>
      </c>
      <c r="F356" s="123">
        <f t="shared" si="61"/>
        <v>829</v>
      </c>
      <c r="O356" s="194">
        <v>390</v>
      </c>
      <c r="P356" s="198">
        <v>375</v>
      </c>
      <c r="R356" s="367">
        <v>454</v>
      </c>
      <c r="S356" s="182">
        <f t="shared" si="57"/>
        <v>1.1641025641025642</v>
      </c>
    </row>
    <row r="357" spans="1:19" ht="32.25" outlineLevel="1" thickBot="1" x14ac:dyDescent="0.3">
      <c r="A357" s="25" t="s">
        <v>2922</v>
      </c>
      <c r="B357" s="181" t="s">
        <v>3715</v>
      </c>
      <c r="C357" s="94" t="s">
        <v>549</v>
      </c>
      <c r="D357" s="123">
        <f t="shared" si="60"/>
        <v>759.16666666666674</v>
      </c>
      <c r="E357" s="123">
        <f t="shared" si="59"/>
        <v>151.83333333333334</v>
      </c>
      <c r="F357" s="123">
        <f t="shared" si="61"/>
        <v>911</v>
      </c>
      <c r="O357" s="194">
        <v>320</v>
      </c>
      <c r="P357" s="198">
        <v>375</v>
      </c>
      <c r="R357" s="367">
        <v>536</v>
      </c>
      <c r="S357" s="182">
        <f t="shared" si="57"/>
        <v>1.675</v>
      </c>
    </row>
    <row r="358" spans="1:19" ht="16.5" outlineLevel="1" thickBot="1" x14ac:dyDescent="0.3">
      <c r="A358" s="25" t="s">
        <v>2923</v>
      </c>
      <c r="B358" s="181" t="s">
        <v>3716</v>
      </c>
      <c r="C358" s="94" t="s">
        <v>549</v>
      </c>
      <c r="D358" s="123">
        <f t="shared" si="60"/>
        <v>759.16666666666674</v>
      </c>
      <c r="E358" s="123">
        <f t="shared" si="59"/>
        <v>151.83333333333334</v>
      </c>
      <c r="F358" s="123">
        <f>P358+R358</f>
        <v>911</v>
      </c>
      <c r="O358" s="194">
        <v>320</v>
      </c>
      <c r="P358" s="198">
        <v>375</v>
      </c>
      <c r="R358" s="367">
        <v>536</v>
      </c>
      <c r="S358" s="182">
        <f t="shared" si="57"/>
        <v>1.675</v>
      </c>
    </row>
    <row r="359" spans="1:19" ht="16.5" outlineLevel="1" thickBot="1" x14ac:dyDescent="0.3">
      <c r="A359" s="25" t="s">
        <v>2924</v>
      </c>
      <c r="B359" s="181" t="s">
        <v>2907</v>
      </c>
      <c r="C359" s="94" t="s">
        <v>549</v>
      </c>
      <c r="D359" s="123">
        <f t="shared" si="60"/>
        <v>859.16666666666674</v>
      </c>
      <c r="E359" s="123">
        <f t="shared" si="59"/>
        <v>171.83333333333337</v>
      </c>
      <c r="F359" s="123">
        <f t="shared" ref="F359:F362" si="62">P359+R359</f>
        <v>1031</v>
      </c>
      <c r="O359" s="194">
        <v>380</v>
      </c>
      <c r="P359" s="198">
        <v>375</v>
      </c>
      <c r="R359" s="367">
        <v>656</v>
      </c>
      <c r="S359" s="182">
        <f t="shared" si="57"/>
        <v>1.7263157894736842</v>
      </c>
    </row>
    <row r="360" spans="1:19" ht="16.5" outlineLevel="1" thickBot="1" x14ac:dyDescent="0.3">
      <c r="A360" s="25" t="s">
        <v>2925</v>
      </c>
      <c r="B360" s="181" t="s">
        <v>2908</v>
      </c>
      <c r="C360" s="94" t="s">
        <v>549</v>
      </c>
      <c r="D360" s="123">
        <f t="shared" si="60"/>
        <v>859.16666666666674</v>
      </c>
      <c r="E360" s="123">
        <f t="shared" si="59"/>
        <v>171.83333333333337</v>
      </c>
      <c r="F360" s="123">
        <f t="shared" si="62"/>
        <v>1031</v>
      </c>
      <c r="O360" s="194">
        <v>380</v>
      </c>
      <c r="P360" s="198">
        <v>375</v>
      </c>
      <c r="R360" s="367">
        <v>656</v>
      </c>
      <c r="S360" s="182">
        <f t="shared" si="57"/>
        <v>1.7263157894736842</v>
      </c>
    </row>
    <row r="361" spans="1:19" ht="16.5" outlineLevel="1" thickBot="1" x14ac:dyDescent="0.3">
      <c r="A361" s="25" t="s">
        <v>2926</v>
      </c>
      <c r="B361" s="181" t="s">
        <v>2909</v>
      </c>
      <c r="C361" s="94" t="s">
        <v>549</v>
      </c>
      <c r="D361" s="123">
        <f t="shared" si="60"/>
        <v>859.16666666666674</v>
      </c>
      <c r="E361" s="123">
        <f t="shared" si="59"/>
        <v>171.83333333333337</v>
      </c>
      <c r="F361" s="123">
        <f t="shared" si="62"/>
        <v>1031</v>
      </c>
      <c r="O361" s="194">
        <v>380</v>
      </c>
      <c r="P361" s="198">
        <v>375</v>
      </c>
      <c r="R361" s="367">
        <v>656</v>
      </c>
      <c r="S361" s="182">
        <f t="shared" si="57"/>
        <v>1.7263157894736842</v>
      </c>
    </row>
    <row r="362" spans="1:19" ht="16.5" outlineLevel="1" thickBot="1" x14ac:dyDescent="0.3">
      <c r="A362" s="25" t="s">
        <v>2927</v>
      </c>
      <c r="B362" s="181" t="s">
        <v>3717</v>
      </c>
      <c r="C362" s="94" t="s">
        <v>549</v>
      </c>
      <c r="D362" s="123">
        <f t="shared" si="60"/>
        <v>757.5</v>
      </c>
      <c r="E362" s="123">
        <f t="shared" si="59"/>
        <v>151.5</v>
      </c>
      <c r="F362" s="123">
        <f t="shared" si="62"/>
        <v>909</v>
      </c>
      <c r="O362" s="194">
        <v>455</v>
      </c>
      <c r="P362" s="198">
        <v>375</v>
      </c>
      <c r="R362" s="367">
        <v>534</v>
      </c>
      <c r="S362" s="182">
        <f t="shared" si="57"/>
        <v>1.1736263736263737</v>
      </c>
    </row>
    <row r="363" spans="1:19" ht="32.25" outlineLevel="1" thickBot="1" x14ac:dyDescent="0.3">
      <c r="A363" s="25" t="s">
        <v>2928</v>
      </c>
      <c r="B363" s="181" t="s">
        <v>3719</v>
      </c>
      <c r="C363" s="94" t="s">
        <v>549</v>
      </c>
      <c r="D363" s="123">
        <f t="shared" si="60"/>
        <v>655.83333333333337</v>
      </c>
      <c r="E363" s="123">
        <f t="shared" si="59"/>
        <v>131.16666666666669</v>
      </c>
      <c r="F363" s="123">
        <f t="shared" ref="F363:F425" si="63">P363+R363</f>
        <v>787</v>
      </c>
      <c r="O363" s="194">
        <v>325</v>
      </c>
      <c r="P363" s="198">
        <v>375</v>
      </c>
      <c r="R363" s="367">
        <v>412</v>
      </c>
      <c r="S363" s="182">
        <f t="shared" si="57"/>
        <v>1.2676923076923077</v>
      </c>
    </row>
    <row r="364" spans="1:19" ht="32.25" outlineLevel="1" thickBot="1" x14ac:dyDescent="0.3">
      <c r="A364" s="25" t="s">
        <v>2929</v>
      </c>
      <c r="B364" s="181" t="s">
        <v>3720</v>
      </c>
      <c r="C364" s="94" t="s">
        <v>549</v>
      </c>
      <c r="D364" s="123">
        <f t="shared" si="60"/>
        <v>655.83333333333337</v>
      </c>
      <c r="E364" s="123">
        <f t="shared" si="59"/>
        <v>131.16666666666669</v>
      </c>
      <c r="F364" s="123">
        <f t="shared" si="63"/>
        <v>787</v>
      </c>
      <c r="O364" s="194">
        <v>325</v>
      </c>
      <c r="P364" s="198">
        <v>375</v>
      </c>
      <c r="R364" s="367">
        <v>412</v>
      </c>
      <c r="S364" s="182">
        <f t="shared" si="57"/>
        <v>1.2676923076923077</v>
      </c>
    </row>
    <row r="365" spans="1:19" ht="32.25" outlineLevel="1" thickBot="1" x14ac:dyDescent="0.3">
      <c r="A365" s="25" t="s">
        <v>2930</v>
      </c>
      <c r="B365" s="181" t="s">
        <v>3721</v>
      </c>
      <c r="C365" s="94" t="s">
        <v>549</v>
      </c>
      <c r="D365" s="123">
        <f t="shared" si="60"/>
        <v>655.83333333333337</v>
      </c>
      <c r="E365" s="123">
        <f t="shared" si="59"/>
        <v>131.16666666666669</v>
      </c>
      <c r="F365" s="123">
        <f t="shared" si="63"/>
        <v>787</v>
      </c>
      <c r="O365" s="194">
        <v>325</v>
      </c>
      <c r="P365" s="198">
        <v>375</v>
      </c>
      <c r="R365" s="367">
        <v>412</v>
      </c>
      <c r="S365" s="182">
        <f t="shared" si="57"/>
        <v>1.2676923076923077</v>
      </c>
    </row>
    <row r="366" spans="1:19" ht="32.25" outlineLevel="1" thickBot="1" x14ac:dyDescent="0.3">
      <c r="A366" s="25" t="s">
        <v>2931</v>
      </c>
      <c r="B366" s="181" t="s">
        <v>3722</v>
      </c>
      <c r="C366" s="94" t="s">
        <v>549</v>
      </c>
      <c r="D366" s="123">
        <f t="shared" si="60"/>
        <v>655.83333333333337</v>
      </c>
      <c r="E366" s="123">
        <f t="shared" si="59"/>
        <v>131.16666666666669</v>
      </c>
      <c r="F366" s="123">
        <f t="shared" si="63"/>
        <v>787</v>
      </c>
      <c r="O366" s="194">
        <v>325</v>
      </c>
      <c r="P366" s="198">
        <v>375</v>
      </c>
      <c r="R366" s="367">
        <v>412</v>
      </c>
      <c r="S366" s="182">
        <f t="shared" si="57"/>
        <v>1.2676923076923077</v>
      </c>
    </row>
    <row r="367" spans="1:19" ht="32.25" outlineLevel="1" thickBot="1" x14ac:dyDescent="0.3">
      <c r="A367" s="25" t="s">
        <v>2932</v>
      </c>
      <c r="B367" s="181" t="s">
        <v>3678</v>
      </c>
      <c r="C367" s="94" t="s">
        <v>549</v>
      </c>
      <c r="D367" s="123">
        <f t="shared" si="60"/>
        <v>859.16666666666674</v>
      </c>
      <c r="E367" s="123">
        <f t="shared" si="59"/>
        <v>171.83333333333337</v>
      </c>
      <c r="F367" s="123">
        <f t="shared" si="63"/>
        <v>1031</v>
      </c>
      <c r="O367" s="194">
        <v>380</v>
      </c>
      <c r="P367" s="198">
        <v>375</v>
      </c>
      <c r="R367" s="367">
        <v>656</v>
      </c>
      <c r="S367" s="182">
        <f t="shared" si="57"/>
        <v>1.7263157894736842</v>
      </c>
    </row>
    <row r="368" spans="1:19" ht="16.5" outlineLevel="1" thickBot="1" x14ac:dyDescent="0.3">
      <c r="A368" s="25" t="s">
        <v>2933</v>
      </c>
      <c r="B368" s="181" t="s">
        <v>3679</v>
      </c>
      <c r="C368" s="94" t="s">
        <v>549</v>
      </c>
      <c r="D368" s="123">
        <f t="shared" si="60"/>
        <v>859.16666666666674</v>
      </c>
      <c r="E368" s="123">
        <f t="shared" si="59"/>
        <v>171.83333333333337</v>
      </c>
      <c r="F368" s="123">
        <f t="shared" si="63"/>
        <v>1031</v>
      </c>
      <c r="O368" s="194">
        <v>380</v>
      </c>
      <c r="P368" s="198">
        <v>375</v>
      </c>
      <c r="R368" s="367">
        <v>656</v>
      </c>
      <c r="S368" s="182">
        <f t="shared" si="57"/>
        <v>1.7263157894736842</v>
      </c>
    </row>
    <row r="369" spans="1:19" ht="32.25" outlineLevel="1" thickBot="1" x14ac:dyDescent="0.3">
      <c r="A369" s="25" t="s">
        <v>2934</v>
      </c>
      <c r="B369" s="181" t="s">
        <v>3718</v>
      </c>
      <c r="C369" s="94" t="s">
        <v>549</v>
      </c>
      <c r="D369" s="123">
        <f t="shared" si="60"/>
        <v>793.33333333333337</v>
      </c>
      <c r="E369" s="123">
        <f t="shared" si="59"/>
        <v>158.66666666666669</v>
      </c>
      <c r="F369" s="123">
        <f t="shared" si="63"/>
        <v>952</v>
      </c>
      <c r="O369" s="194">
        <v>320</v>
      </c>
      <c r="P369" s="198">
        <v>375</v>
      </c>
      <c r="R369" s="367">
        <v>577</v>
      </c>
      <c r="S369" s="182">
        <f t="shared" si="57"/>
        <v>1.8031250000000001</v>
      </c>
    </row>
    <row r="370" spans="1:19" ht="32.25" outlineLevel="1" thickBot="1" x14ac:dyDescent="0.3">
      <c r="A370" s="25" t="s">
        <v>2935</v>
      </c>
      <c r="B370" s="181" t="s">
        <v>3723</v>
      </c>
      <c r="C370" s="94" t="s">
        <v>549</v>
      </c>
      <c r="D370" s="123">
        <f t="shared" si="60"/>
        <v>793.33333333333337</v>
      </c>
      <c r="E370" s="123">
        <f t="shared" si="59"/>
        <v>158.66666666666669</v>
      </c>
      <c r="F370" s="123">
        <f t="shared" si="63"/>
        <v>952</v>
      </c>
      <c r="O370" s="194">
        <v>320</v>
      </c>
      <c r="P370" s="198">
        <v>375</v>
      </c>
      <c r="R370" s="367">
        <v>577</v>
      </c>
      <c r="S370" s="182">
        <f t="shared" si="57"/>
        <v>1.8031250000000001</v>
      </c>
    </row>
    <row r="371" spans="1:19" ht="16.5" outlineLevel="1" thickBot="1" x14ac:dyDescent="0.3">
      <c r="A371" s="25" t="s">
        <v>2936</v>
      </c>
      <c r="B371" s="181" t="s">
        <v>3724</v>
      </c>
      <c r="C371" s="94" t="s">
        <v>549</v>
      </c>
      <c r="D371" s="123">
        <f t="shared" si="60"/>
        <v>793.33333333333337</v>
      </c>
      <c r="E371" s="123">
        <f t="shared" si="59"/>
        <v>158.66666666666669</v>
      </c>
      <c r="F371" s="123">
        <f t="shared" si="63"/>
        <v>952</v>
      </c>
      <c r="O371" s="194">
        <v>320</v>
      </c>
      <c r="P371" s="198">
        <v>375</v>
      </c>
      <c r="R371" s="367">
        <v>577</v>
      </c>
      <c r="S371" s="182">
        <f t="shared" si="57"/>
        <v>1.8031250000000001</v>
      </c>
    </row>
    <row r="372" spans="1:19" ht="16.5" outlineLevel="1" thickBot="1" x14ac:dyDescent="0.3">
      <c r="A372" s="25" t="s">
        <v>2937</v>
      </c>
      <c r="B372" s="181" t="s">
        <v>3681</v>
      </c>
      <c r="C372" s="94" t="s">
        <v>549</v>
      </c>
      <c r="D372" s="123">
        <f t="shared" si="60"/>
        <v>1605.8333333333335</v>
      </c>
      <c r="E372" s="123">
        <f t="shared" si="59"/>
        <v>321.16666666666674</v>
      </c>
      <c r="F372" s="123">
        <f t="shared" si="63"/>
        <v>1927</v>
      </c>
      <c r="O372" s="194">
        <v>985</v>
      </c>
      <c r="P372" s="198">
        <v>375</v>
      </c>
      <c r="R372" s="367">
        <v>1552</v>
      </c>
      <c r="S372" s="182">
        <f t="shared" si="57"/>
        <v>1.5756345177664974</v>
      </c>
    </row>
    <row r="373" spans="1:19" ht="16.5" outlineLevel="1" thickBot="1" x14ac:dyDescent="0.3">
      <c r="A373" s="25" t="s">
        <v>2938</v>
      </c>
      <c r="B373" s="181" t="s">
        <v>3682</v>
      </c>
      <c r="C373" s="94" t="s">
        <v>549</v>
      </c>
      <c r="D373" s="123">
        <f t="shared" si="60"/>
        <v>1760.8333333333335</v>
      </c>
      <c r="E373" s="123">
        <f t="shared" si="59"/>
        <v>352.16666666666674</v>
      </c>
      <c r="F373" s="123">
        <f t="shared" si="63"/>
        <v>2113</v>
      </c>
      <c r="O373" s="194">
        <v>985</v>
      </c>
      <c r="P373" s="198">
        <v>375</v>
      </c>
      <c r="R373" s="367">
        <v>1738</v>
      </c>
      <c r="S373" s="182">
        <f t="shared" si="57"/>
        <v>1.7644670050761422</v>
      </c>
    </row>
    <row r="374" spans="1:19" ht="32.25" outlineLevel="1" thickBot="1" x14ac:dyDescent="0.3">
      <c r="A374" s="25" t="s">
        <v>2939</v>
      </c>
      <c r="B374" s="181" t="s">
        <v>3725</v>
      </c>
      <c r="C374" s="94" t="s">
        <v>549</v>
      </c>
      <c r="D374" s="123">
        <f t="shared" si="60"/>
        <v>804.16666666666674</v>
      </c>
      <c r="E374" s="123">
        <f t="shared" si="59"/>
        <v>160.83333333333337</v>
      </c>
      <c r="F374" s="123">
        <f t="shared" si="63"/>
        <v>965</v>
      </c>
      <c r="O374" s="194">
        <v>380</v>
      </c>
      <c r="P374" s="198">
        <v>375</v>
      </c>
      <c r="R374" s="367">
        <v>590</v>
      </c>
      <c r="S374" s="182">
        <f t="shared" si="57"/>
        <v>1.5526315789473684</v>
      </c>
    </row>
    <row r="375" spans="1:19" ht="16.5" outlineLevel="1" thickBot="1" x14ac:dyDescent="0.3">
      <c r="A375" s="25" t="s">
        <v>2940</v>
      </c>
      <c r="B375" s="181" t="s">
        <v>3726</v>
      </c>
      <c r="C375" s="94" t="s">
        <v>549</v>
      </c>
      <c r="D375" s="123">
        <f t="shared" si="60"/>
        <v>804.16666666666674</v>
      </c>
      <c r="E375" s="123">
        <f t="shared" si="59"/>
        <v>160.83333333333337</v>
      </c>
      <c r="F375" s="123">
        <f t="shared" si="63"/>
        <v>965</v>
      </c>
      <c r="O375" s="194">
        <v>380</v>
      </c>
      <c r="P375" s="198">
        <v>375</v>
      </c>
      <c r="R375" s="367">
        <v>590</v>
      </c>
      <c r="S375" s="182">
        <f t="shared" si="57"/>
        <v>1.5526315789473684</v>
      </c>
    </row>
    <row r="376" spans="1:19" ht="32.25" outlineLevel="1" thickBot="1" x14ac:dyDescent="0.3">
      <c r="A376" s="25" t="s">
        <v>2941</v>
      </c>
      <c r="B376" s="181" t="s">
        <v>3740</v>
      </c>
      <c r="C376" s="94" t="s">
        <v>549</v>
      </c>
      <c r="D376" s="123">
        <f t="shared" si="60"/>
        <v>807.5</v>
      </c>
      <c r="E376" s="123">
        <f t="shared" si="59"/>
        <v>161.5</v>
      </c>
      <c r="F376" s="123">
        <f t="shared" si="63"/>
        <v>969</v>
      </c>
      <c r="O376" s="194">
        <v>380</v>
      </c>
      <c r="P376" s="198">
        <v>375</v>
      </c>
      <c r="R376" s="367">
        <v>594</v>
      </c>
      <c r="S376" s="182">
        <f t="shared" si="57"/>
        <v>1.5631578947368421</v>
      </c>
    </row>
    <row r="377" spans="1:19" ht="16.5" outlineLevel="1" thickBot="1" x14ac:dyDescent="0.3">
      <c r="A377" s="25" t="s">
        <v>2942</v>
      </c>
      <c r="B377" s="181" t="s">
        <v>3741</v>
      </c>
      <c r="C377" s="94" t="s">
        <v>549</v>
      </c>
      <c r="D377" s="123">
        <f t="shared" si="60"/>
        <v>807.5</v>
      </c>
      <c r="E377" s="123">
        <f t="shared" si="59"/>
        <v>161.5</v>
      </c>
      <c r="F377" s="123">
        <f t="shared" si="63"/>
        <v>969</v>
      </c>
      <c r="O377" s="194">
        <v>380</v>
      </c>
      <c r="P377" s="198">
        <v>375</v>
      </c>
      <c r="R377" s="367">
        <v>594</v>
      </c>
      <c r="S377" s="182">
        <f t="shared" si="57"/>
        <v>1.5631578947368421</v>
      </c>
    </row>
    <row r="378" spans="1:19" ht="16.5" outlineLevel="1" thickBot="1" x14ac:dyDescent="0.3">
      <c r="A378" s="25" t="s">
        <v>2943</v>
      </c>
      <c r="B378" s="181" t="s">
        <v>3727</v>
      </c>
      <c r="C378" s="94" t="s">
        <v>549</v>
      </c>
      <c r="D378" s="123">
        <f t="shared" si="60"/>
        <v>1838.3333333333335</v>
      </c>
      <c r="E378" s="123">
        <f t="shared" si="59"/>
        <v>367.66666666666674</v>
      </c>
      <c r="F378" s="123">
        <f t="shared" si="63"/>
        <v>2206</v>
      </c>
      <c r="O378" s="194">
        <v>1510</v>
      </c>
      <c r="P378" s="198">
        <v>375</v>
      </c>
      <c r="R378" s="367">
        <v>1831</v>
      </c>
      <c r="S378" s="182">
        <f t="shared" si="57"/>
        <v>1.2125827814569536</v>
      </c>
    </row>
    <row r="379" spans="1:19" ht="32.25" outlineLevel="1" thickBot="1" x14ac:dyDescent="0.3">
      <c r="A379" s="25" t="s">
        <v>2944</v>
      </c>
      <c r="B379" s="181" t="s">
        <v>3685</v>
      </c>
      <c r="C379" s="94" t="s">
        <v>549</v>
      </c>
      <c r="D379" s="123">
        <f t="shared" si="60"/>
        <v>1838.3333333333335</v>
      </c>
      <c r="E379" s="123">
        <f t="shared" si="59"/>
        <v>367.66666666666674</v>
      </c>
      <c r="F379" s="123">
        <f t="shared" si="63"/>
        <v>2206</v>
      </c>
      <c r="O379" s="194">
        <v>1510</v>
      </c>
      <c r="P379" s="198">
        <v>375</v>
      </c>
      <c r="R379" s="367">
        <v>1831</v>
      </c>
      <c r="S379" s="182">
        <f t="shared" si="57"/>
        <v>1.2125827814569536</v>
      </c>
    </row>
    <row r="380" spans="1:19" ht="16.5" outlineLevel="1" thickBot="1" x14ac:dyDescent="0.3">
      <c r="A380" s="25" t="s">
        <v>2945</v>
      </c>
      <c r="B380" s="181" t="s">
        <v>3686</v>
      </c>
      <c r="C380" s="94" t="s">
        <v>549</v>
      </c>
      <c r="D380" s="123">
        <f t="shared" si="60"/>
        <v>890.83333333333337</v>
      </c>
      <c r="E380" s="123">
        <f t="shared" si="59"/>
        <v>178.16666666666669</v>
      </c>
      <c r="F380" s="123">
        <f t="shared" si="63"/>
        <v>1069</v>
      </c>
      <c r="O380" s="194">
        <v>380</v>
      </c>
      <c r="P380" s="198">
        <v>375</v>
      </c>
      <c r="R380" s="367">
        <v>694</v>
      </c>
      <c r="S380" s="182">
        <f t="shared" si="57"/>
        <v>1.8263157894736841</v>
      </c>
    </row>
    <row r="381" spans="1:19" ht="32.25" outlineLevel="1" thickBot="1" x14ac:dyDescent="0.3">
      <c r="A381" s="25" t="s">
        <v>2946</v>
      </c>
      <c r="B381" s="181" t="s">
        <v>3687</v>
      </c>
      <c r="C381" s="94" t="s">
        <v>549</v>
      </c>
      <c r="D381" s="123">
        <f t="shared" si="60"/>
        <v>890.83333333333337</v>
      </c>
      <c r="E381" s="123">
        <f t="shared" si="59"/>
        <v>178.16666666666669</v>
      </c>
      <c r="F381" s="123">
        <f t="shared" si="63"/>
        <v>1069</v>
      </c>
      <c r="O381" s="194">
        <v>380</v>
      </c>
      <c r="P381" s="198">
        <v>375</v>
      </c>
      <c r="R381" s="367">
        <v>694</v>
      </c>
      <c r="S381" s="182">
        <f t="shared" si="57"/>
        <v>1.8263157894736841</v>
      </c>
    </row>
    <row r="382" spans="1:19" ht="16.5" outlineLevel="1" thickBot="1" x14ac:dyDescent="0.3">
      <c r="A382" s="25" t="s">
        <v>2947</v>
      </c>
      <c r="B382" s="181" t="s">
        <v>3688</v>
      </c>
      <c r="C382" s="94" t="s">
        <v>549</v>
      </c>
      <c r="D382" s="123">
        <f t="shared" si="60"/>
        <v>768.33333333333337</v>
      </c>
      <c r="E382" s="123">
        <f t="shared" si="59"/>
        <v>153.66666666666669</v>
      </c>
      <c r="F382" s="123">
        <f t="shared" si="63"/>
        <v>922</v>
      </c>
      <c r="O382" s="194">
        <v>455</v>
      </c>
      <c r="P382" s="198">
        <v>375</v>
      </c>
      <c r="R382" s="367">
        <v>547</v>
      </c>
      <c r="S382" s="182">
        <f t="shared" si="57"/>
        <v>1.2021978021978021</v>
      </c>
    </row>
    <row r="383" spans="1:19" ht="16.5" outlineLevel="1" thickBot="1" x14ac:dyDescent="0.3">
      <c r="A383" s="25" t="s">
        <v>2948</v>
      </c>
      <c r="B383" s="181" t="s">
        <v>3690</v>
      </c>
      <c r="C383" s="94" t="s">
        <v>549</v>
      </c>
      <c r="D383" s="123">
        <f t="shared" si="60"/>
        <v>910.83333333333337</v>
      </c>
      <c r="E383" s="123">
        <f t="shared" si="59"/>
        <v>182.16666666666669</v>
      </c>
      <c r="F383" s="123">
        <f t="shared" si="63"/>
        <v>1093</v>
      </c>
      <c r="O383" s="194">
        <v>445</v>
      </c>
      <c r="P383" s="198">
        <v>375</v>
      </c>
      <c r="R383" s="367">
        <v>718</v>
      </c>
      <c r="S383" s="182">
        <f t="shared" si="57"/>
        <v>1.6134831460674157</v>
      </c>
    </row>
    <row r="384" spans="1:19" ht="16.5" outlineLevel="1" thickBot="1" x14ac:dyDescent="0.3">
      <c r="A384" s="25" t="s">
        <v>2949</v>
      </c>
      <c r="B384" s="181" t="s">
        <v>3691</v>
      </c>
      <c r="C384" s="94" t="s">
        <v>549</v>
      </c>
      <c r="D384" s="123">
        <f t="shared" si="60"/>
        <v>910.83333333333337</v>
      </c>
      <c r="E384" s="123">
        <f t="shared" si="59"/>
        <v>182.16666666666669</v>
      </c>
      <c r="F384" s="123">
        <f t="shared" si="63"/>
        <v>1093</v>
      </c>
      <c r="O384" s="194">
        <v>445</v>
      </c>
      <c r="P384" s="198">
        <v>375</v>
      </c>
      <c r="R384" s="367">
        <v>718</v>
      </c>
      <c r="S384" s="182">
        <f t="shared" si="57"/>
        <v>1.6134831460674157</v>
      </c>
    </row>
    <row r="385" spans="1:19" ht="32.25" outlineLevel="1" thickBot="1" x14ac:dyDescent="0.3">
      <c r="A385" s="25" t="s">
        <v>2950</v>
      </c>
      <c r="B385" s="181" t="s">
        <v>3728</v>
      </c>
      <c r="C385" s="94" t="s">
        <v>549</v>
      </c>
      <c r="D385" s="123">
        <f t="shared" si="60"/>
        <v>770.83333333333337</v>
      </c>
      <c r="E385" s="123">
        <f t="shared" si="59"/>
        <v>154.16666666666669</v>
      </c>
      <c r="F385" s="123">
        <f t="shared" si="63"/>
        <v>925</v>
      </c>
      <c r="O385" s="194">
        <v>395</v>
      </c>
      <c r="P385" s="198">
        <v>375</v>
      </c>
      <c r="R385" s="367">
        <v>550</v>
      </c>
      <c r="S385" s="182">
        <f t="shared" si="57"/>
        <v>1.3924050632911393</v>
      </c>
    </row>
    <row r="386" spans="1:19" ht="32.25" outlineLevel="1" thickBot="1" x14ac:dyDescent="0.3">
      <c r="A386" s="25" t="s">
        <v>2951</v>
      </c>
      <c r="B386" s="181" t="s">
        <v>3692</v>
      </c>
      <c r="C386" s="94" t="s">
        <v>549</v>
      </c>
      <c r="D386" s="123">
        <f t="shared" si="60"/>
        <v>770.83333333333337</v>
      </c>
      <c r="E386" s="123">
        <f t="shared" si="59"/>
        <v>154.16666666666669</v>
      </c>
      <c r="F386" s="123">
        <f>P386+R386</f>
        <v>925</v>
      </c>
      <c r="O386" s="194">
        <v>395</v>
      </c>
      <c r="P386" s="198">
        <v>375</v>
      </c>
      <c r="R386" s="367">
        <v>550</v>
      </c>
      <c r="S386" s="182">
        <f t="shared" si="57"/>
        <v>1.3924050632911393</v>
      </c>
    </row>
    <row r="387" spans="1:19" ht="16.5" outlineLevel="1" thickBot="1" x14ac:dyDescent="0.3">
      <c r="A387" s="25" t="s">
        <v>2952</v>
      </c>
      <c r="B387" s="181" t="s">
        <v>3693</v>
      </c>
      <c r="C387" s="94" t="s">
        <v>549</v>
      </c>
      <c r="D387" s="123">
        <f t="shared" si="60"/>
        <v>770.83333333333337</v>
      </c>
      <c r="E387" s="123">
        <f t="shared" si="59"/>
        <v>154.16666666666669</v>
      </c>
      <c r="F387" s="123">
        <f t="shared" si="63"/>
        <v>925</v>
      </c>
      <c r="O387" s="194">
        <v>395</v>
      </c>
      <c r="P387" s="198">
        <v>375</v>
      </c>
      <c r="R387" s="367">
        <v>550</v>
      </c>
      <c r="S387" s="182">
        <f t="shared" si="57"/>
        <v>1.3924050632911393</v>
      </c>
    </row>
    <row r="388" spans="1:19" ht="32.25" outlineLevel="1" thickBot="1" x14ac:dyDescent="0.3">
      <c r="A388" s="25" t="s">
        <v>2953</v>
      </c>
      <c r="B388" s="181" t="s">
        <v>3729</v>
      </c>
      <c r="C388" s="94" t="s">
        <v>549</v>
      </c>
      <c r="D388" s="123">
        <f t="shared" si="60"/>
        <v>690.83333333333337</v>
      </c>
      <c r="E388" s="123">
        <f t="shared" si="59"/>
        <v>138.16666666666669</v>
      </c>
      <c r="F388" s="123">
        <f t="shared" si="63"/>
        <v>829</v>
      </c>
      <c r="O388" s="194">
        <v>390</v>
      </c>
      <c r="P388" s="198">
        <v>375</v>
      </c>
      <c r="R388" s="367">
        <v>454</v>
      </c>
      <c r="S388" s="182">
        <f t="shared" si="57"/>
        <v>1.1641025641025642</v>
      </c>
    </row>
    <row r="389" spans="1:19" ht="32.25" outlineLevel="1" thickBot="1" x14ac:dyDescent="0.3">
      <c r="A389" s="25" t="s">
        <v>2954</v>
      </c>
      <c r="B389" s="181" t="s">
        <v>3730</v>
      </c>
      <c r="C389" s="94" t="s">
        <v>549</v>
      </c>
      <c r="D389" s="123">
        <f t="shared" si="60"/>
        <v>690.83333333333337</v>
      </c>
      <c r="E389" s="123">
        <f t="shared" si="59"/>
        <v>138.16666666666669</v>
      </c>
      <c r="F389" s="123">
        <f t="shared" si="63"/>
        <v>829</v>
      </c>
      <c r="O389" s="194">
        <v>390</v>
      </c>
      <c r="P389" s="198">
        <v>375</v>
      </c>
      <c r="R389" s="367">
        <v>454</v>
      </c>
      <c r="S389" s="182">
        <f t="shared" si="57"/>
        <v>1.1641025641025642</v>
      </c>
    </row>
    <row r="390" spans="1:19" ht="16.5" outlineLevel="1" thickBot="1" x14ac:dyDescent="0.3">
      <c r="A390" s="25" t="s">
        <v>2955</v>
      </c>
      <c r="B390" s="181" t="s">
        <v>2867</v>
      </c>
      <c r="C390" s="94" t="s">
        <v>549</v>
      </c>
      <c r="D390" s="123">
        <f t="shared" si="60"/>
        <v>808.33333333333337</v>
      </c>
      <c r="E390" s="123">
        <f t="shared" si="59"/>
        <v>161.66666666666669</v>
      </c>
      <c r="F390" s="123">
        <f t="shared" si="63"/>
        <v>970</v>
      </c>
      <c r="O390" s="194">
        <v>420</v>
      </c>
      <c r="P390" s="198">
        <v>375</v>
      </c>
      <c r="R390" s="367">
        <v>595</v>
      </c>
      <c r="S390" s="182">
        <f t="shared" si="57"/>
        <v>1.4166666666666667</v>
      </c>
    </row>
    <row r="391" spans="1:19" ht="16.5" outlineLevel="1" thickBot="1" x14ac:dyDescent="0.3">
      <c r="A391" s="25" t="s">
        <v>2956</v>
      </c>
      <c r="B391" s="181" t="s">
        <v>3702</v>
      </c>
      <c r="C391" s="94" t="s">
        <v>549</v>
      </c>
      <c r="D391" s="123">
        <f t="shared" si="60"/>
        <v>853.33333333333337</v>
      </c>
      <c r="E391" s="123">
        <f t="shared" si="59"/>
        <v>170.66666666666669</v>
      </c>
      <c r="F391" s="123">
        <f t="shared" si="63"/>
        <v>1024</v>
      </c>
      <c r="O391" s="194">
        <v>465</v>
      </c>
      <c r="P391" s="198">
        <v>375</v>
      </c>
      <c r="R391" s="367">
        <v>649</v>
      </c>
      <c r="S391" s="182">
        <f t="shared" si="57"/>
        <v>1.3956989247311828</v>
      </c>
    </row>
    <row r="392" spans="1:19" ht="32.25" outlineLevel="1" thickBot="1" x14ac:dyDescent="0.3">
      <c r="A392" s="25" t="s">
        <v>2957</v>
      </c>
      <c r="B392" s="181" t="s">
        <v>3701</v>
      </c>
      <c r="C392" s="94" t="s">
        <v>549</v>
      </c>
      <c r="D392" s="123">
        <f t="shared" si="60"/>
        <v>853.33333333333337</v>
      </c>
      <c r="E392" s="123">
        <f t="shared" si="59"/>
        <v>170.66666666666669</v>
      </c>
      <c r="F392" s="123">
        <f t="shared" si="63"/>
        <v>1024</v>
      </c>
      <c r="O392" s="194">
        <v>465</v>
      </c>
      <c r="P392" s="198">
        <v>375</v>
      </c>
      <c r="R392" s="367">
        <v>649</v>
      </c>
      <c r="S392" s="182">
        <f t="shared" si="57"/>
        <v>1.3956989247311828</v>
      </c>
    </row>
    <row r="393" spans="1:19" ht="16.5" outlineLevel="1" thickBot="1" x14ac:dyDescent="0.3">
      <c r="A393" s="25" t="s">
        <v>2958</v>
      </c>
      <c r="B393" s="181" t="s">
        <v>3704</v>
      </c>
      <c r="C393" s="94" t="s">
        <v>549</v>
      </c>
      <c r="D393" s="123">
        <f t="shared" si="60"/>
        <v>810.83333333333337</v>
      </c>
      <c r="E393" s="123">
        <f t="shared" si="59"/>
        <v>162.16666666666669</v>
      </c>
      <c r="F393" s="123">
        <f t="shared" si="63"/>
        <v>973</v>
      </c>
      <c r="O393" s="194">
        <v>515</v>
      </c>
      <c r="P393" s="198">
        <v>375</v>
      </c>
      <c r="R393" s="367">
        <v>598</v>
      </c>
      <c r="S393" s="182">
        <f t="shared" si="57"/>
        <v>1.1611650485436893</v>
      </c>
    </row>
    <row r="394" spans="1:19" ht="32.25" outlineLevel="1" thickBot="1" x14ac:dyDescent="0.3">
      <c r="A394" s="25" t="s">
        <v>2959</v>
      </c>
      <c r="B394" s="181" t="s">
        <v>3703</v>
      </c>
      <c r="C394" s="94" t="s">
        <v>549</v>
      </c>
      <c r="D394" s="123">
        <f t="shared" si="60"/>
        <v>810.83333333333337</v>
      </c>
      <c r="E394" s="123">
        <f t="shared" si="59"/>
        <v>162.16666666666669</v>
      </c>
      <c r="F394" s="123">
        <f t="shared" si="63"/>
        <v>973</v>
      </c>
      <c r="O394" s="194">
        <v>515</v>
      </c>
      <c r="P394" s="198">
        <v>375</v>
      </c>
      <c r="R394" s="367">
        <v>598</v>
      </c>
      <c r="S394" s="182">
        <f t="shared" si="57"/>
        <v>1.1611650485436893</v>
      </c>
    </row>
    <row r="395" spans="1:19" ht="16.5" outlineLevel="1" thickBot="1" x14ac:dyDescent="0.3">
      <c r="A395" s="25" t="s">
        <v>2960</v>
      </c>
      <c r="B395" s="181" t="s">
        <v>2904</v>
      </c>
      <c r="C395" s="94" t="s">
        <v>549</v>
      </c>
      <c r="D395" s="123">
        <f t="shared" si="60"/>
        <v>768.33333333333337</v>
      </c>
      <c r="E395" s="123">
        <f t="shared" si="59"/>
        <v>153.66666666666669</v>
      </c>
      <c r="F395" s="123">
        <f t="shared" si="63"/>
        <v>922</v>
      </c>
      <c r="O395" s="194">
        <v>320</v>
      </c>
      <c r="P395" s="198">
        <v>375</v>
      </c>
      <c r="R395" s="367">
        <v>547</v>
      </c>
      <c r="S395" s="182">
        <f t="shared" si="57"/>
        <v>1.7093750000000001</v>
      </c>
    </row>
    <row r="396" spans="1:19" ht="32.25" outlineLevel="1" thickBot="1" x14ac:dyDescent="0.3">
      <c r="A396" s="25" t="s">
        <v>2961</v>
      </c>
      <c r="B396" s="181" t="s">
        <v>2905</v>
      </c>
      <c r="C396" s="94" t="s">
        <v>549</v>
      </c>
      <c r="D396" s="123">
        <f t="shared" si="60"/>
        <v>768.33333333333337</v>
      </c>
      <c r="E396" s="123">
        <f t="shared" si="59"/>
        <v>153.66666666666669</v>
      </c>
      <c r="F396" s="123">
        <f t="shared" si="63"/>
        <v>922</v>
      </c>
      <c r="O396" s="194">
        <v>320</v>
      </c>
      <c r="P396" s="198">
        <v>375</v>
      </c>
      <c r="R396" s="367">
        <v>547</v>
      </c>
      <c r="S396" s="182">
        <f t="shared" ref="S396:S458" si="64">R396/O396</f>
        <v>1.7093750000000001</v>
      </c>
    </row>
    <row r="397" spans="1:19" ht="16.5" outlineLevel="1" thickBot="1" x14ac:dyDescent="0.3">
      <c r="A397" s="25" t="s">
        <v>2962</v>
      </c>
      <c r="B397" s="181" t="s">
        <v>2860</v>
      </c>
      <c r="C397" s="94" t="s">
        <v>549</v>
      </c>
      <c r="D397" s="123">
        <f t="shared" si="60"/>
        <v>768.33333333333337</v>
      </c>
      <c r="E397" s="123">
        <f t="shared" si="59"/>
        <v>153.66666666666669</v>
      </c>
      <c r="F397" s="123">
        <f t="shared" si="63"/>
        <v>922</v>
      </c>
      <c r="O397" s="194">
        <v>320</v>
      </c>
      <c r="P397" s="198">
        <v>375</v>
      </c>
      <c r="R397" s="367">
        <v>547</v>
      </c>
      <c r="S397" s="182">
        <f t="shared" si="64"/>
        <v>1.7093750000000001</v>
      </c>
    </row>
    <row r="398" spans="1:19" ht="16.5" outlineLevel="1" thickBot="1" x14ac:dyDescent="0.3">
      <c r="A398" s="25" t="s">
        <v>2963</v>
      </c>
      <c r="B398" s="181" t="s">
        <v>2906</v>
      </c>
      <c r="C398" s="94" t="s">
        <v>549</v>
      </c>
      <c r="D398" s="123">
        <f t="shared" si="60"/>
        <v>768.33333333333337</v>
      </c>
      <c r="E398" s="123">
        <f t="shared" si="59"/>
        <v>153.66666666666669</v>
      </c>
      <c r="F398" s="123">
        <f t="shared" si="63"/>
        <v>922</v>
      </c>
      <c r="O398" s="194">
        <v>320</v>
      </c>
      <c r="P398" s="198">
        <v>375</v>
      </c>
      <c r="R398" s="367">
        <v>547</v>
      </c>
      <c r="S398" s="182">
        <f t="shared" si="64"/>
        <v>1.7093750000000001</v>
      </c>
    </row>
    <row r="399" spans="1:19" ht="16.5" outlineLevel="1" thickBot="1" x14ac:dyDescent="0.3">
      <c r="A399" s="25" t="s">
        <v>2964</v>
      </c>
      <c r="B399" s="181" t="s">
        <v>3731</v>
      </c>
      <c r="C399" s="94" t="s">
        <v>549</v>
      </c>
      <c r="D399" s="123">
        <f t="shared" si="60"/>
        <v>821.66666666666674</v>
      </c>
      <c r="E399" s="123">
        <f t="shared" ref="E399:E428" si="65">D399*0.2</f>
        <v>164.33333333333337</v>
      </c>
      <c r="F399" s="123">
        <f t="shared" si="63"/>
        <v>986</v>
      </c>
      <c r="O399" s="194">
        <v>480</v>
      </c>
      <c r="P399" s="198">
        <v>375</v>
      </c>
      <c r="R399" s="367">
        <v>611</v>
      </c>
      <c r="S399" s="182">
        <f t="shared" si="64"/>
        <v>1.2729166666666667</v>
      </c>
    </row>
    <row r="400" spans="1:19" ht="32.25" outlineLevel="1" thickBot="1" x14ac:dyDescent="0.3">
      <c r="A400" s="25" t="s">
        <v>2965</v>
      </c>
      <c r="B400" s="181" t="s">
        <v>3732</v>
      </c>
      <c r="C400" s="94" t="s">
        <v>549</v>
      </c>
      <c r="D400" s="123">
        <f t="shared" si="60"/>
        <v>821.66666666666674</v>
      </c>
      <c r="E400" s="123">
        <f t="shared" si="65"/>
        <v>164.33333333333337</v>
      </c>
      <c r="F400" s="123">
        <f t="shared" si="63"/>
        <v>986</v>
      </c>
      <c r="O400" s="194">
        <v>455</v>
      </c>
      <c r="P400" s="198">
        <v>375</v>
      </c>
      <c r="R400" s="367">
        <v>611</v>
      </c>
      <c r="S400" s="182">
        <f t="shared" si="64"/>
        <v>1.3428571428571427</v>
      </c>
    </row>
    <row r="401" spans="1:19" ht="16.5" outlineLevel="1" thickBot="1" x14ac:dyDescent="0.3">
      <c r="A401" s="25" t="s">
        <v>2966</v>
      </c>
      <c r="B401" s="181" t="s">
        <v>3733</v>
      </c>
      <c r="C401" s="94" t="s">
        <v>549</v>
      </c>
      <c r="D401" s="123">
        <f t="shared" si="60"/>
        <v>653.33333333333337</v>
      </c>
      <c r="E401" s="123">
        <f t="shared" si="65"/>
        <v>130.66666666666669</v>
      </c>
      <c r="F401" s="123">
        <f t="shared" si="63"/>
        <v>784</v>
      </c>
      <c r="O401" s="194">
        <v>325</v>
      </c>
      <c r="P401" s="198">
        <v>375</v>
      </c>
      <c r="R401" s="367">
        <v>409</v>
      </c>
      <c r="S401" s="182">
        <f t="shared" si="64"/>
        <v>1.2584615384615385</v>
      </c>
    </row>
    <row r="402" spans="1:19" ht="32.25" outlineLevel="1" thickBot="1" x14ac:dyDescent="0.3">
      <c r="A402" s="25" t="s">
        <v>2967</v>
      </c>
      <c r="B402" s="181" t="s">
        <v>3734</v>
      </c>
      <c r="C402" s="94" t="s">
        <v>549</v>
      </c>
      <c r="D402" s="123">
        <f t="shared" si="60"/>
        <v>653.33333333333337</v>
      </c>
      <c r="E402" s="123">
        <f t="shared" si="65"/>
        <v>130.66666666666669</v>
      </c>
      <c r="F402" s="123">
        <f t="shared" si="63"/>
        <v>784</v>
      </c>
      <c r="O402" s="194">
        <v>325</v>
      </c>
      <c r="P402" s="198">
        <v>375</v>
      </c>
      <c r="R402" s="367">
        <v>409</v>
      </c>
      <c r="S402" s="182">
        <f t="shared" si="64"/>
        <v>1.2584615384615385</v>
      </c>
    </row>
    <row r="403" spans="1:19" ht="16.5" outlineLevel="1" thickBot="1" x14ac:dyDescent="0.3">
      <c r="A403" s="25" t="s">
        <v>2968</v>
      </c>
      <c r="B403" s="181" t="s">
        <v>3710</v>
      </c>
      <c r="C403" s="94" t="s">
        <v>549</v>
      </c>
      <c r="D403" s="123">
        <f t="shared" si="60"/>
        <v>701.66666666666674</v>
      </c>
      <c r="E403" s="123">
        <f t="shared" si="65"/>
        <v>140.33333333333334</v>
      </c>
      <c r="F403" s="123">
        <f t="shared" si="63"/>
        <v>842</v>
      </c>
      <c r="O403" s="194">
        <v>390</v>
      </c>
      <c r="P403" s="198">
        <v>375</v>
      </c>
      <c r="R403" s="367">
        <v>467</v>
      </c>
      <c r="S403" s="182">
        <f t="shared" si="64"/>
        <v>1.1974358974358974</v>
      </c>
    </row>
    <row r="404" spans="1:19" ht="19.5" thickBot="1" x14ac:dyDescent="0.3">
      <c r="A404" s="407" t="s">
        <v>2870</v>
      </c>
      <c r="B404" s="452"/>
      <c r="C404" s="452"/>
      <c r="D404" s="452"/>
      <c r="E404" s="452"/>
      <c r="F404" s="409"/>
      <c r="P404" s="198"/>
      <c r="R404" s="367"/>
      <c r="S404" s="182"/>
    </row>
    <row r="405" spans="1:19" ht="32.25" outlineLevel="1" thickBot="1" x14ac:dyDescent="0.3">
      <c r="A405" s="25" t="s">
        <v>2981</v>
      </c>
      <c r="B405" s="181" t="s">
        <v>2969</v>
      </c>
      <c r="C405" s="94" t="s">
        <v>549</v>
      </c>
      <c r="D405" s="123">
        <f t="shared" ref="D405:D418" si="66">F405/1.2</f>
        <v>1323.3333333333335</v>
      </c>
      <c r="E405" s="123">
        <f t="shared" si="65"/>
        <v>264.66666666666669</v>
      </c>
      <c r="F405" s="123">
        <f t="shared" si="63"/>
        <v>1588</v>
      </c>
      <c r="O405" s="194">
        <v>910</v>
      </c>
      <c r="P405" s="198">
        <v>375</v>
      </c>
      <c r="R405" s="367">
        <v>1213</v>
      </c>
      <c r="S405" s="182">
        <f t="shared" si="64"/>
        <v>1.3329670329670329</v>
      </c>
    </row>
    <row r="406" spans="1:19" ht="48" outlineLevel="1" thickBot="1" x14ac:dyDescent="0.3">
      <c r="A406" s="25" t="s">
        <v>2982</v>
      </c>
      <c r="B406" s="181" t="s">
        <v>2970</v>
      </c>
      <c r="C406" s="94" t="s">
        <v>549</v>
      </c>
      <c r="D406" s="123">
        <f t="shared" si="66"/>
        <v>1424.1666666666667</v>
      </c>
      <c r="E406" s="123">
        <f t="shared" si="65"/>
        <v>284.83333333333337</v>
      </c>
      <c r="F406" s="123">
        <f t="shared" si="63"/>
        <v>1709</v>
      </c>
      <c r="O406" s="194">
        <v>880</v>
      </c>
      <c r="P406" s="198">
        <v>375</v>
      </c>
      <c r="R406" s="367">
        <v>1334</v>
      </c>
      <c r="S406" s="182">
        <f t="shared" si="64"/>
        <v>1.5159090909090909</v>
      </c>
    </row>
    <row r="407" spans="1:19" ht="63.75" outlineLevel="1" thickBot="1" x14ac:dyDescent="0.3">
      <c r="A407" s="25" t="s">
        <v>2983</v>
      </c>
      <c r="B407" s="181" t="s">
        <v>2971</v>
      </c>
      <c r="C407" s="94" t="s">
        <v>549</v>
      </c>
      <c r="D407" s="123">
        <f t="shared" si="66"/>
        <v>2109.166666666667</v>
      </c>
      <c r="E407" s="123">
        <f t="shared" si="65"/>
        <v>421.83333333333343</v>
      </c>
      <c r="F407" s="123">
        <f t="shared" si="63"/>
        <v>2531</v>
      </c>
      <c r="O407" s="194">
        <v>1590</v>
      </c>
      <c r="P407" s="198">
        <v>375</v>
      </c>
      <c r="R407" s="367">
        <v>2156</v>
      </c>
      <c r="S407" s="182">
        <f t="shared" si="64"/>
        <v>1.3559748427672955</v>
      </c>
    </row>
    <row r="408" spans="1:19" ht="48" outlineLevel="1" thickBot="1" x14ac:dyDescent="0.3">
      <c r="A408" s="25" t="s">
        <v>2984</v>
      </c>
      <c r="B408" s="181" t="s">
        <v>2972</v>
      </c>
      <c r="C408" s="94" t="s">
        <v>549</v>
      </c>
      <c r="D408" s="123">
        <f t="shared" si="66"/>
        <v>1477.5</v>
      </c>
      <c r="E408" s="123">
        <f t="shared" si="65"/>
        <v>295.5</v>
      </c>
      <c r="F408" s="123">
        <f t="shared" si="63"/>
        <v>1773</v>
      </c>
      <c r="O408" s="194">
        <v>1010</v>
      </c>
      <c r="P408" s="198">
        <v>375</v>
      </c>
      <c r="R408" s="367">
        <v>1398</v>
      </c>
      <c r="S408" s="182">
        <f t="shared" si="64"/>
        <v>1.3841584158415841</v>
      </c>
    </row>
    <row r="409" spans="1:19" ht="63.75" outlineLevel="1" thickBot="1" x14ac:dyDescent="0.3">
      <c r="A409" s="25" t="s">
        <v>2985</v>
      </c>
      <c r="B409" s="181" t="s">
        <v>2973</v>
      </c>
      <c r="C409" s="94" t="s">
        <v>549</v>
      </c>
      <c r="D409" s="123">
        <f t="shared" si="66"/>
        <v>2414.166666666667</v>
      </c>
      <c r="E409" s="123">
        <f t="shared" si="65"/>
        <v>482.83333333333343</v>
      </c>
      <c r="F409" s="123">
        <f t="shared" si="63"/>
        <v>2897</v>
      </c>
      <c r="O409" s="194">
        <v>1730</v>
      </c>
      <c r="P409" s="198">
        <v>375</v>
      </c>
      <c r="R409" s="367">
        <v>2522</v>
      </c>
      <c r="S409" s="182">
        <f t="shared" si="64"/>
        <v>1.4578034682080925</v>
      </c>
    </row>
    <row r="410" spans="1:19" ht="32.25" outlineLevel="1" thickBot="1" x14ac:dyDescent="0.3">
      <c r="A410" s="25" t="s">
        <v>2986</v>
      </c>
      <c r="B410" s="181" t="s">
        <v>2974</v>
      </c>
      <c r="C410" s="94" t="s">
        <v>549</v>
      </c>
      <c r="D410" s="123">
        <f t="shared" si="66"/>
        <v>1901.6666666666667</v>
      </c>
      <c r="E410" s="123">
        <f t="shared" si="65"/>
        <v>380.33333333333337</v>
      </c>
      <c r="F410" s="123">
        <f t="shared" si="63"/>
        <v>2282</v>
      </c>
      <c r="O410" s="194">
        <v>1010</v>
      </c>
      <c r="P410" s="198">
        <v>375</v>
      </c>
      <c r="R410" s="367">
        <v>1907</v>
      </c>
      <c r="S410" s="182">
        <f t="shared" si="64"/>
        <v>1.888118811881188</v>
      </c>
    </row>
    <row r="411" spans="1:19" ht="63.75" outlineLevel="1" thickBot="1" x14ac:dyDescent="0.3">
      <c r="A411" s="25" t="s">
        <v>2987</v>
      </c>
      <c r="B411" s="181" t="s">
        <v>2975</v>
      </c>
      <c r="C411" s="94" t="s">
        <v>549</v>
      </c>
      <c r="D411" s="123">
        <f t="shared" si="66"/>
        <v>2838.3333333333335</v>
      </c>
      <c r="E411" s="123">
        <f t="shared" si="65"/>
        <v>567.66666666666674</v>
      </c>
      <c r="F411" s="123">
        <f t="shared" si="63"/>
        <v>3406</v>
      </c>
      <c r="O411" s="194">
        <v>1925</v>
      </c>
      <c r="P411" s="198">
        <v>375</v>
      </c>
      <c r="R411" s="367">
        <v>3031</v>
      </c>
      <c r="S411" s="182">
        <f t="shared" si="64"/>
        <v>1.5745454545454545</v>
      </c>
    </row>
    <row r="412" spans="1:19" ht="48" outlineLevel="1" thickBot="1" x14ac:dyDescent="0.3">
      <c r="A412" s="25" t="s">
        <v>2988</v>
      </c>
      <c r="B412" s="181" t="s">
        <v>2976</v>
      </c>
      <c r="C412" s="94" t="s">
        <v>549</v>
      </c>
      <c r="D412" s="123">
        <f t="shared" si="66"/>
        <v>1868.3333333333335</v>
      </c>
      <c r="E412" s="123">
        <f t="shared" si="65"/>
        <v>373.66666666666674</v>
      </c>
      <c r="F412" s="123">
        <f t="shared" si="63"/>
        <v>2242</v>
      </c>
      <c r="O412" s="194">
        <v>1170</v>
      </c>
      <c r="P412" s="198">
        <v>375</v>
      </c>
      <c r="R412" s="367">
        <v>1867</v>
      </c>
      <c r="S412" s="182">
        <f t="shared" si="64"/>
        <v>1.5957264957264958</v>
      </c>
    </row>
    <row r="413" spans="1:19" ht="48" outlineLevel="1" thickBot="1" x14ac:dyDescent="0.3">
      <c r="A413" s="25" t="s">
        <v>2989</v>
      </c>
      <c r="B413" s="181" t="s">
        <v>3736</v>
      </c>
      <c r="C413" s="94" t="s">
        <v>549</v>
      </c>
      <c r="D413" s="123">
        <f t="shared" si="66"/>
        <v>1607.5</v>
      </c>
      <c r="E413" s="123">
        <f t="shared" si="65"/>
        <v>321.5</v>
      </c>
      <c r="F413" s="123">
        <f t="shared" si="63"/>
        <v>1929</v>
      </c>
      <c r="O413" s="194">
        <v>1235</v>
      </c>
      <c r="P413" s="198">
        <v>375</v>
      </c>
      <c r="R413" s="367">
        <v>1554</v>
      </c>
      <c r="S413" s="182">
        <f t="shared" si="64"/>
        <v>1.2582995951417004</v>
      </c>
    </row>
    <row r="414" spans="1:19" ht="32.25" outlineLevel="1" thickBot="1" x14ac:dyDescent="0.3">
      <c r="A414" s="25" t="s">
        <v>2990</v>
      </c>
      <c r="B414" s="181" t="s">
        <v>2978</v>
      </c>
      <c r="C414" s="94" t="s">
        <v>549</v>
      </c>
      <c r="D414" s="123">
        <f t="shared" si="66"/>
        <v>1443.3333333333335</v>
      </c>
      <c r="E414" s="123">
        <f t="shared" si="65"/>
        <v>288.66666666666669</v>
      </c>
      <c r="F414" s="123">
        <f t="shared" si="63"/>
        <v>1732</v>
      </c>
      <c r="O414" s="194">
        <v>1020</v>
      </c>
      <c r="P414" s="198">
        <v>375</v>
      </c>
      <c r="R414" s="367">
        <v>1357</v>
      </c>
      <c r="S414" s="182">
        <f t="shared" si="64"/>
        <v>1.330392156862745</v>
      </c>
    </row>
    <row r="415" spans="1:19" ht="48" outlineLevel="1" thickBot="1" x14ac:dyDescent="0.3">
      <c r="A415" s="25" t="s">
        <v>2991</v>
      </c>
      <c r="B415" s="181" t="s">
        <v>2979</v>
      </c>
      <c r="C415" s="94" t="s">
        <v>549</v>
      </c>
      <c r="D415" s="123">
        <f t="shared" si="66"/>
        <v>1049.1666666666667</v>
      </c>
      <c r="E415" s="123">
        <f t="shared" si="65"/>
        <v>209.83333333333337</v>
      </c>
      <c r="F415" s="123">
        <f t="shared" si="63"/>
        <v>1259</v>
      </c>
      <c r="O415" s="194">
        <v>740</v>
      </c>
      <c r="P415" s="198">
        <v>375</v>
      </c>
      <c r="R415" s="367">
        <v>884</v>
      </c>
      <c r="S415" s="182">
        <f t="shared" si="64"/>
        <v>1.1945945945945946</v>
      </c>
    </row>
    <row r="416" spans="1:19" ht="63.75" outlineLevel="1" thickBot="1" x14ac:dyDescent="0.3">
      <c r="A416" s="25" t="s">
        <v>2992</v>
      </c>
      <c r="B416" s="181" t="s">
        <v>2980</v>
      </c>
      <c r="C416" s="94" t="s">
        <v>549</v>
      </c>
      <c r="D416" s="123">
        <f t="shared" si="66"/>
        <v>1507.5</v>
      </c>
      <c r="E416" s="123">
        <f t="shared" si="65"/>
        <v>301.5</v>
      </c>
      <c r="F416" s="123">
        <f t="shared" si="63"/>
        <v>1809</v>
      </c>
      <c r="O416" s="194">
        <v>1010</v>
      </c>
      <c r="P416" s="198">
        <v>375</v>
      </c>
      <c r="R416" s="367">
        <v>1434</v>
      </c>
      <c r="S416" s="182">
        <f t="shared" si="64"/>
        <v>1.4198019801980197</v>
      </c>
    </row>
    <row r="417" spans="1:19" ht="69.75" customHeight="1" outlineLevel="1" thickBot="1" x14ac:dyDescent="0.3">
      <c r="A417" s="25" t="s">
        <v>2993</v>
      </c>
      <c r="B417" s="181" t="s">
        <v>3737</v>
      </c>
      <c r="C417" s="94" t="s">
        <v>549</v>
      </c>
      <c r="D417" s="123">
        <f t="shared" si="66"/>
        <v>1873.3333333333335</v>
      </c>
      <c r="E417" s="123">
        <f t="shared" si="65"/>
        <v>374.66666666666674</v>
      </c>
      <c r="F417" s="123">
        <f t="shared" si="63"/>
        <v>2248</v>
      </c>
      <c r="O417" s="194">
        <v>1260</v>
      </c>
      <c r="P417" s="198">
        <v>375</v>
      </c>
      <c r="R417" s="367">
        <v>1873</v>
      </c>
      <c r="S417" s="182">
        <f t="shared" si="64"/>
        <v>1.4865079365079366</v>
      </c>
    </row>
    <row r="418" spans="1:19" ht="32.25" outlineLevel="1" thickBot="1" x14ac:dyDescent="0.3">
      <c r="A418" s="25" t="s">
        <v>2994</v>
      </c>
      <c r="B418" s="181" t="s">
        <v>3735</v>
      </c>
      <c r="C418" s="94" t="s">
        <v>549</v>
      </c>
      <c r="D418" s="123">
        <f t="shared" si="66"/>
        <v>1243.3333333333335</v>
      </c>
      <c r="E418" s="123">
        <f t="shared" si="65"/>
        <v>248.66666666666671</v>
      </c>
      <c r="F418" s="123">
        <f t="shared" si="63"/>
        <v>1492</v>
      </c>
      <c r="O418" s="194">
        <v>720</v>
      </c>
      <c r="P418" s="198">
        <v>375</v>
      </c>
      <c r="R418" s="367">
        <v>1117</v>
      </c>
      <c r="S418" s="182">
        <f t="shared" si="64"/>
        <v>1.5513888888888889</v>
      </c>
    </row>
    <row r="419" spans="1:19" ht="19.5" thickBot="1" x14ac:dyDescent="0.3">
      <c r="A419" s="461" t="s">
        <v>2871</v>
      </c>
      <c r="B419" s="462"/>
      <c r="C419" s="462"/>
      <c r="D419" s="462"/>
      <c r="E419" s="462"/>
      <c r="F419" s="463"/>
      <c r="P419" s="198"/>
      <c r="R419" s="367"/>
      <c r="S419" s="182"/>
    </row>
    <row r="420" spans="1:19" ht="32.25" outlineLevel="1" thickBot="1" x14ac:dyDescent="0.3">
      <c r="A420" s="253" t="s">
        <v>3002</v>
      </c>
      <c r="B420" s="181" t="s">
        <v>2839</v>
      </c>
      <c r="C420" s="368" t="s">
        <v>549</v>
      </c>
      <c r="D420" s="255">
        <f t="shared" ref="D420:D428" si="67">F420/1.2</f>
        <v>845.83333333333337</v>
      </c>
      <c r="E420" s="255">
        <f t="shared" si="65"/>
        <v>169.16666666666669</v>
      </c>
      <c r="F420" s="123">
        <f t="shared" si="63"/>
        <v>1015</v>
      </c>
      <c r="O420" s="194">
        <v>320</v>
      </c>
      <c r="P420" s="198">
        <v>375</v>
      </c>
      <c r="R420" s="367">
        <v>640</v>
      </c>
      <c r="S420" s="182">
        <f t="shared" si="64"/>
        <v>2</v>
      </c>
    </row>
    <row r="421" spans="1:19" ht="16.5" outlineLevel="1" thickBot="1" x14ac:dyDescent="0.3">
      <c r="A421" s="253" t="s">
        <v>3003</v>
      </c>
      <c r="B421" s="181" t="s">
        <v>2840</v>
      </c>
      <c r="C421" s="368" t="s">
        <v>549</v>
      </c>
      <c r="D421" s="255">
        <f t="shared" si="67"/>
        <v>845.83333333333337</v>
      </c>
      <c r="E421" s="255">
        <f t="shared" si="65"/>
        <v>169.16666666666669</v>
      </c>
      <c r="F421" s="123">
        <f t="shared" si="63"/>
        <v>1015</v>
      </c>
      <c r="O421" s="194">
        <v>320</v>
      </c>
      <c r="P421" s="198">
        <v>375</v>
      </c>
      <c r="R421" s="367">
        <v>640</v>
      </c>
      <c r="S421" s="182">
        <f t="shared" si="64"/>
        <v>2</v>
      </c>
    </row>
    <row r="422" spans="1:19" ht="32.25" outlineLevel="1" thickBot="1" x14ac:dyDescent="0.3">
      <c r="A422" s="253" t="s">
        <v>3004</v>
      </c>
      <c r="B422" s="181" t="s">
        <v>2995</v>
      </c>
      <c r="C422" s="368" t="s">
        <v>549</v>
      </c>
      <c r="D422" s="255">
        <f t="shared" si="67"/>
        <v>1133.3333333333335</v>
      </c>
      <c r="E422" s="255">
        <f t="shared" si="65"/>
        <v>226.66666666666671</v>
      </c>
      <c r="F422" s="123">
        <f t="shared" si="63"/>
        <v>1360</v>
      </c>
      <c r="O422" s="194">
        <v>985</v>
      </c>
      <c r="P422" s="198">
        <v>375</v>
      </c>
      <c r="R422" s="367">
        <v>985</v>
      </c>
      <c r="S422" s="182">
        <f t="shared" si="64"/>
        <v>1</v>
      </c>
    </row>
    <row r="423" spans="1:19" ht="16.5" outlineLevel="1" thickBot="1" x14ac:dyDescent="0.3">
      <c r="A423" s="253" t="s">
        <v>3005</v>
      </c>
      <c r="B423" s="181" t="s">
        <v>2996</v>
      </c>
      <c r="C423" s="368" t="s">
        <v>549</v>
      </c>
      <c r="D423" s="255">
        <f t="shared" si="67"/>
        <v>1133.3333333333335</v>
      </c>
      <c r="E423" s="255">
        <f t="shared" si="65"/>
        <v>226.66666666666671</v>
      </c>
      <c r="F423" s="123">
        <f t="shared" si="63"/>
        <v>1360</v>
      </c>
      <c r="O423" s="194">
        <v>985</v>
      </c>
      <c r="P423" s="198">
        <v>375</v>
      </c>
      <c r="R423" s="367">
        <v>985</v>
      </c>
      <c r="S423" s="182">
        <f t="shared" si="64"/>
        <v>1</v>
      </c>
    </row>
    <row r="424" spans="1:19" ht="16.5" outlineLevel="1" thickBot="1" x14ac:dyDescent="0.3">
      <c r="A424" s="253" t="s">
        <v>3006</v>
      </c>
      <c r="B424" s="181" t="s">
        <v>2997</v>
      </c>
      <c r="C424" s="368" t="s">
        <v>549</v>
      </c>
      <c r="D424" s="255">
        <f t="shared" si="67"/>
        <v>1133.3333333333335</v>
      </c>
      <c r="E424" s="255">
        <f t="shared" si="65"/>
        <v>226.66666666666671</v>
      </c>
      <c r="F424" s="123">
        <f t="shared" si="63"/>
        <v>1360</v>
      </c>
      <c r="O424" s="194">
        <v>985</v>
      </c>
      <c r="P424" s="198">
        <v>375</v>
      </c>
      <c r="R424" s="367">
        <v>985</v>
      </c>
      <c r="S424" s="182">
        <f t="shared" si="64"/>
        <v>1</v>
      </c>
    </row>
    <row r="425" spans="1:19" ht="16.5" outlineLevel="1" thickBot="1" x14ac:dyDescent="0.3">
      <c r="A425" s="253" t="s">
        <v>3007</v>
      </c>
      <c r="B425" s="181" t="s">
        <v>2998</v>
      </c>
      <c r="C425" s="368" t="s">
        <v>549</v>
      </c>
      <c r="D425" s="255">
        <f t="shared" si="67"/>
        <v>1133.3333333333335</v>
      </c>
      <c r="E425" s="255">
        <f t="shared" si="65"/>
        <v>226.66666666666671</v>
      </c>
      <c r="F425" s="123">
        <f t="shared" si="63"/>
        <v>1360</v>
      </c>
      <c r="O425" s="194">
        <v>985</v>
      </c>
      <c r="P425" s="198">
        <v>375</v>
      </c>
      <c r="R425" s="367">
        <v>985</v>
      </c>
      <c r="S425" s="182">
        <f t="shared" si="64"/>
        <v>1</v>
      </c>
    </row>
    <row r="426" spans="1:19" ht="16.5" outlineLevel="1" thickBot="1" x14ac:dyDescent="0.3">
      <c r="A426" s="253" t="s">
        <v>3008</v>
      </c>
      <c r="B426" s="181" t="s">
        <v>2999</v>
      </c>
      <c r="C426" s="368" t="s">
        <v>549</v>
      </c>
      <c r="D426" s="255">
        <f t="shared" si="67"/>
        <v>1133.3333333333335</v>
      </c>
      <c r="E426" s="255">
        <f t="shared" si="65"/>
        <v>226.66666666666671</v>
      </c>
      <c r="F426" s="123">
        <f t="shared" ref="F426:F474" si="68">P426+R426</f>
        <v>1360</v>
      </c>
      <c r="O426" s="194">
        <v>985</v>
      </c>
      <c r="P426" s="198">
        <v>375</v>
      </c>
      <c r="R426" s="367">
        <v>985</v>
      </c>
      <c r="S426" s="182">
        <f t="shared" si="64"/>
        <v>1</v>
      </c>
    </row>
    <row r="427" spans="1:19" ht="32.25" outlineLevel="1" thickBot="1" x14ac:dyDescent="0.3">
      <c r="A427" s="253" t="s">
        <v>3009</v>
      </c>
      <c r="B427" s="181" t="s">
        <v>3000</v>
      </c>
      <c r="C427" s="368" t="s">
        <v>549</v>
      </c>
      <c r="D427" s="255">
        <f t="shared" si="67"/>
        <v>1158.3333333333335</v>
      </c>
      <c r="E427" s="255">
        <f t="shared" si="65"/>
        <v>231.66666666666671</v>
      </c>
      <c r="F427" s="123">
        <f t="shared" si="68"/>
        <v>1390</v>
      </c>
      <c r="O427" s="194">
        <v>1015</v>
      </c>
      <c r="P427" s="198">
        <v>375</v>
      </c>
      <c r="R427" s="367">
        <v>1015</v>
      </c>
      <c r="S427" s="182">
        <f t="shared" si="64"/>
        <v>1</v>
      </c>
    </row>
    <row r="428" spans="1:19" ht="16.5" outlineLevel="1" thickBot="1" x14ac:dyDescent="0.3">
      <c r="A428" s="253" t="s">
        <v>3010</v>
      </c>
      <c r="B428" s="181" t="s">
        <v>3001</v>
      </c>
      <c r="C428" s="368" t="s">
        <v>549</v>
      </c>
      <c r="D428" s="255">
        <f t="shared" si="67"/>
        <v>1158.3333333333335</v>
      </c>
      <c r="E428" s="255">
        <f t="shared" si="65"/>
        <v>231.66666666666671</v>
      </c>
      <c r="F428" s="123">
        <f t="shared" si="68"/>
        <v>1390</v>
      </c>
      <c r="O428" s="194">
        <v>1015</v>
      </c>
      <c r="P428" s="198">
        <v>375</v>
      </c>
      <c r="R428" s="367">
        <v>1015</v>
      </c>
      <c r="S428" s="182">
        <f t="shared" si="64"/>
        <v>1</v>
      </c>
    </row>
    <row r="429" spans="1:19" ht="19.5" thickBot="1" x14ac:dyDescent="0.3">
      <c r="A429" s="407" t="s">
        <v>2872</v>
      </c>
      <c r="B429" s="452"/>
      <c r="C429" s="452"/>
      <c r="D429" s="452"/>
      <c r="E429" s="452"/>
      <c r="F429" s="409"/>
      <c r="P429" s="198"/>
      <c r="R429" s="367"/>
      <c r="S429" s="182"/>
    </row>
    <row r="430" spans="1:19" ht="32.25" outlineLevel="1" thickBot="1" x14ac:dyDescent="0.3">
      <c r="A430" s="25" t="s">
        <v>3013</v>
      </c>
      <c r="B430" s="181" t="s">
        <v>2831</v>
      </c>
      <c r="C430" s="94" t="s">
        <v>549</v>
      </c>
      <c r="D430" s="123">
        <f t="shared" ref="D430:D460" si="69">F430/1.2</f>
        <v>942.5</v>
      </c>
      <c r="E430" s="123">
        <f t="shared" ref="E430:E474" si="70">D430*0.2</f>
        <v>188.5</v>
      </c>
      <c r="F430" s="123">
        <f t="shared" si="68"/>
        <v>1131</v>
      </c>
      <c r="O430" s="194">
        <v>630</v>
      </c>
      <c r="P430" s="198">
        <v>375</v>
      </c>
      <c r="R430" s="367">
        <v>756</v>
      </c>
      <c r="S430" s="182">
        <f t="shared" si="64"/>
        <v>1.2</v>
      </c>
    </row>
    <row r="431" spans="1:19" ht="32.25" outlineLevel="1" thickBot="1" x14ac:dyDescent="0.3">
      <c r="A431" s="25" t="s">
        <v>3014</v>
      </c>
      <c r="B431" s="181" t="s">
        <v>2760</v>
      </c>
      <c r="C431" s="94" t="s">
        <v>549</v>
      </c>
      <c r="D431" s="123">
        <f t="shared" si="69"/>
        <v>1838.3333333333335</v>
      </c>
      <c r="E431" s="123">
        <f t="shared" si="70"/>
        <v>367.66666666666674</v>
      </c>
      <c r="F431" s="123">
        <f t="shared" si="68"/>
        <v>2206</v>
      </c>
      <c r="O431" s="194">
        <v>1560</v>
      </c>
      <c r="P431" s="198">
        <v>375</v>
      </c>
      <c r="R431" s="367">
        <v>1831</v>
      </c>
      <c r="S431" s="182">
        <f t="shared" si="64"/>
        <v>1.1737179487179488</v>
      </c>
    </row>
    <row r="432" spans="1:19" ht="16.5" outlineLevel="1" thickBot="1" x14ac:dyDescent="0.3">
      <c r="A432" s="25" t="s">
        <v>3015</v>
      </c>
      <c r="B432" s="181" t="s">
        <v>2832</v>
      </c>
      <c r="C432" s="94" t="s">
        <v>549</v>
      </c>
      <c r="D432" s="123">
        <f t="shared" si="69"/>
        <v>1838.3333333333335</v>
      </c>
      <c r="E432" s="123">
        <f t="shared" si="70"/>
        <v>367.66666666666674</v>
      </c>
      <c r="F432" s="123">
        <f t="shared" si="68"/>
        <v>2206</v>
      </c>
      <c r="O432" s="194">
        <v>1560</v>
      </c>
      <c r="P432" s="198">
        <v>375</v>
      </c>
      <c r="R432" s="367">
        <v>1831</v>
      </c>
      <c r="S432" s="182">
        <f t="shared" si="64"/>
        <v>1.1737179487179488</v>
      </c>
    </row>
    <row r="433" spans="1:19" ht="16.5" outlineLevel="1" thickBot="1" x14ac:dyDescent="0.3">
      <c r="A433" s="25" t="s">
        <v>3016</v>
      </c>
      <c r="B433" s="181" t="s">
        <v>2833</v>
      </c>
      <c r="C433" s="94" t="s">
        <v>549</v>
      </c>
      <c r="D433" s="123">
        <f t="shared" si="69"/>
        <v>1838.3333333333335</v>
      </c>
      <c r="E433" s="123">
        <f t="shared" si="70"/>
        <v>367.66666666666674</v>
      </c>
      <c r="F433" s="123">
        <f t="shared" si="68"/>
        <v>2206</v>
      </c>
      <c r="O433" s="194">
        <v>1560</v>
      </c>
      <c r="P433" s="198">
        <v>375</v>
      </c>
      <c r="R433" s="367">
        <v>1831</v>
      </c>
      <c r="S433" s="182">
        <f t="shared" si="64"/>
        <v>1.1737179487179488</v>
      </c>
    </row>
    <row r="434" spans="1:19" ht="16.5" outlineLevel="1" thickBot="1" x14ac:dyDescent="0.3">
      <c r="A434" s="25" t="s">
        <v>3017</v>
      </c>
      <c r="B434" s="181" t="s">
        <v>2897</v>
      </c>
      <c r="C434" s="94" t="s">
        <v>549</v>
      </c>
      <c r="D434" s="123">
        <f t="shared" si="69"/>
        <v>1838.3333333333335</v>
      </c>
      <c r="E434" s="123">
        <f t="shared" si="70"/>
        <v>367.66666666666674</v>
      </c>
      <c r="F434" s="123">
        <f t="shared" si="68"/>
        <v>2206</v>
      </c>
      <c r="O434" s="194">
        <v>1560</v>
      </c>
      <c r="P434" s="198">
        <v>375</v>
      </c>
      <c r="R434" s="367">
        <v>1831</v>
      </c>
      <c r="S434" s="182">
        <f t="shared" si="64"/>
        <v>1.1737179487179488</v>
      </c>
    </row>
    <row r="435" spans="1:19" ht="16.5" outlineLevel="1" thickBot="1" x14ac:dyDescent="0.3">
      <c r="A435" s="25" t="s">
        <v>3018</v>
      </c>
      <c r="B435" s="181" t="s">
        <v>2834</v>
      </c>
      <c r="C435" s="94" t="s">
        <v>549</v>
      </c>
      <c r="D435" s="123">
        <f t="shared" si="69"/>
        <v>652.5</v>
      </c>
      <c r="E435" s="123">
        <f t="shared" si="70"/>
        <v>130.5</v>
      </c>
      <c r="F435" s="123">
        <f t="shared" si="68"/>
        <v>783</v>
      </c>
      <c r="O435" s="194">
        <v>325</v>
      </c>
      <c r="P435" s="198">
        <v>375</v>
      </c>
      <c r="R435" s="367">
        <v>408</v>
      </c>
      <c r="S435" s="182">
        <f t="shared" si="64"/>
        <v>1.2553846153846153</v>
      </c>
    </row>
    <row r="436" spans="1:19" ht="32.25" outlineLevel="1" thickBot="1" x14ac:dyDescent="0.3">
      <c r="A436" s="25" t="s">
        <v>3019</v>
      </c>
      <c r="B436" s="181" t="s">
        <v>2836</v>
      </c>
      <c r="C436" s="94" t="s">
        <v>549</v>
      </c>
      <c r="D436" s="123">
        <f t="shared" si="69"/>
        <v>652.5</v>
      </c>
      <c r="E436" s="123">
        <f t="shared" si="70"/>
        <v>130.5</v>
      </c>
      <c r="F436" s="123">
        <f t="shared" si="68"/>
        <v>783</v>
      </c>
      <c r="O436" s="194">
        <v>325</v>
      </c>
      <c r="P436" s="198">
        <v>375</v>
      </c>
      <c r="R436" s="367">
        <v>408</v>
      </c>
      <c r="S436" s="182">
        <f t="shared" si="64"/>
        <v>1.2553846153846153</v>
      </c>
    </row>
    <row r="437" spans="1:19" ht="16.5" outlineLevel="1" thickBot="1" x14ac:dyDescent="0.3">
      <c r="A437" s="25" t="s">
        <v>3020</v>
      </c>
      <c r="B437" s="181" t="s">
        <v>2898</v>
      </c>
      <c r="C437" s="94" t="s">
        <v>549</v>
      </c>
      <c r="D437" s="123">
        <f t="shared" si="69"/>
        <v>652.5</v>
      </c>
      <c r="E437" s="123">
        <f t="shared" si="70"/>
        <v>130.5</v>
      </c>
      <c r="F437" s="123">
        <f t="shared" si="68"/>
        <v>783</v>
      </c>
      <c r="O437" s="194">
        <v>325</v>
      </c>
      <c r="P437" s="198">
        <v>375</v>
      </c>
      <c r="R437" s="367">
        <v>408</v>
      </c>
      <c r="S437" s="182">
        <f t="shared" si="64"/>
        <v>1.2553846153846153</v>
      </c>
    </row>
    <row r="438" spans="1:19" ht="32.25" outlineLevel="1" thickBot="1" x14ac:dyDescent="0.3">
      <c r="A438" s="25" t="s">
        <v>3021</v>
      </c>
      <c r="B438" s="181" t="s">
        <v>2847</v>
      </c>
      <c r="C438" s="94" t="s">
        <v>549</v>
      </c>
      <c r="D438" s="123">
        <f t="shared" si="69"/>
        <v>859.16666666666674</v>
      </c>
      <c r="E438" s="123">
        <f t="shared" si="70"/>
        <v>171.83333333333337</v>
      </c>
      <c r="F438" s="123">
        <f t="shared" si="68"/>
        <v>1031</v>
      </c>
      <c r="O438" s="194">
        <v>380</v>
      </c>
      <c r="P438" s="198">
        <v>375</v>
      </c>
      <c r="R438" s="367">
        <v>656</v>
      </c>
      <c r="S438" s="182">
        <f t="shared" si="64"/>
        <v>1.7263157894736842</v>
      </c>
    </row>
    <row r="439" spans="1:19" ht="32.25" outlineLevel="1" thickBot="1" x14ac:dyDescent="0.3">
      <c r="A439" s="25" t="s">
        <v>3022</v>
      </c>
      <c r="B439" s="181" t="s">
        <v>2848</v>
      </c>
      <c r="C439" s="94" t="s">
        <v>549</v>
      </c>
      <c r="D439" s="123">
        <f t="shared" si="69"/>
        <v>854.16666666666674</v>
      </c>
      <c r="E439" s="123">
        <f t="shared" si="70"/>
        <v>170.83333333333337</v>
      </c>
      <c r="F439" s="123">
        <f>P439+O439</f>
        <v>1025</v>
      </c>
      <c r="O439" s="194">
        <v>650</v>
      </c>
      <c r="P439" s="198">
        <v>375</v>
      </c>
      <c r="R439" s="367">
        <v>456</v>
      </c>
      <c r="S439" s="182">
        <f t="shared" si="64"/>
        <v>0.70153846153846156</v>
      </c>
    </row>
    <row r="440" spans="1:19" ht="16.5" outlineLevel="1" thickBot="1" x14ac:dyDescent="0.3">
      <c r="A440" s="25" t="s">
        <v>3023</v>
      </c>
      <c r="B440" s="181" t="s">
        <v>2866</v>
      </c>
      <c r="C440" s="94" t="s">
        <v>549</v>
      </c>
      <c r="D440" s="123">
        <f t="shared" si="69"/>
        <v>1605.8333333333335</v>
      </c>
      <c r="E440" s="123">
        <f t="shared" si="70"/>
        <v>321.16666666666674</v>
      </c>
      <c r="F440" s="123">
        <f t="shared" si="68"/>
        <v>1927</v>
      </c>
      <c r="O440" s="194">
        <v>985</v>
      </c>
      <c r="P440" s="198">
        <v>375</v>
      </c>
      <c r="R440" s="367">
        <v>1552</v>
      </c>
      <c r="S440" s="182">
        <f t="shared" si="64"/>
        <v>1.5756345177664974</v>
      </c>
    </row>
    <row r="441" spans="1:19" ht="16.5" outlineLevel="1" thickBot="1" x14ac:dyDescent="0.3">
      <c r="A441" s="25" t="s">
        <v>3024</v>
      </c>
      <c r="B441" s="181" t="s">
        <v>2849</v>
      </c>
      <c r="C441" s="94" t="s">
        <v>549</v>
      </c>
      <c r="D441" s="123">
        <f t="shared" si="69"/>
        <v>1605.8333333333335</v>
      </c>
      <c r="E441" s="123">
        <f t="shared" si="70"/>
        <v>321.16666666666674</v>
      </c>
      <c r="F441" s="123">
        <f t="shared" si="68"/>
        <v>1927</v>
      </c>
      <c r="O441" s="194">
        <v>985</v>
      </c>
      <c r="P441" s="198">
        <v>375</v>
      </c>
      <c r="R441" s="367">
        <v>1552</v>
      </c>
      <c r="S441" s="182">
        <f t="shared" si="64"/>
        <v>1.5756345177664974</v>
      </c>
    </row>
    <row r="442" spans="1:19" ht="32.25" outlineLevel="1" thickBot="1" x14ac:dyDescent="0.3">
      <c r="A442" s="25" t="s">
        <v>3025</v>
      </c>
      <c r="B442" s="181" t="s">
        <v>2850</v>
      </c>
      <c r="C442" s="94" t="s">
        <v>549</v>
      </c>
      <c r="D442" s="123">
        <f t="shared" si="69"/>
        <v>1838.3333333333335</v>
      </c>
      <c r="E442" s="123">
        <f t="shared" si="70"/>
        <v>367.66666666666674</v>
      </c>
      <c r="F442" s="123">
        <f t="shared" si="68"/>
        <v>2206</v>
      </c>
      <c r="O442" s="194">
        <v>1510</v>
      </c>
      <c r="P442" s="198">
        <v>375</v>
      </c>
      <c r="R442" s="367">
        <v>1831</v>
      </c>
      <c r="S442" s="182">
        <f t="shared" si="64"/>
        <v>1.2125827814569536</v>
      </c>
    </row>
    <row r="443" spans="1:19" ht="16.5" outlineLevel="1" thickBot="1" x14ac:dyDescent="0.3">
      <c r="A443" s="25" t="s">
        <v>3026</v>
      </c>
      <c r="B443" s="181" t="s">
        <v>2902</v>
      </c>
      <c r="C443" s="94" t="s">
        <v>549</v>
      </c>
      <c r="D443" s="123">
        <f t="shared" si="69"/>
        <v>1838.3333333333335</v>
      </c>
      <c r="E443" s="123">
        <f t="shared" si="70"/>
        <v>367.66666666666674</v>
      </c>
      <c r="F443" s="123">
        <f t="shared" si="68"/>
        <v>2206</v>
      </c>
      <c r="O443" s="194">
        <v>1510</v>
      </c>
      <c r="P443" s="198">
        <v>375</v>
      </c>
      <c r="R443" s="367">
        <v>1831</v>
      </c>
      <c r="S443" s="182">
        <f t="shared" si="64"/>
        <v>1.2125827814569536</v>
      </c>
    </row>
    <row r="444" spans="1:19" ht="32.25" outlineLevel="1" thickBot="1" x14ac:dyDescent="0.3">
      <c r="A444" s="25" t="s">
        <v>3027</v>
      </c>
      <c r="B444" s="181" t="s">
        <v>2851</v>
      </c>
      <c r="C444" s="94" t="s">
        <v>549</v>
      </c>
      <c r="D444" s="123">
        <f t="shared" si="69"/>
        <v>890.83333333333337</v>
      </c>
      <c r="E444" s="123">
        <f t="shared" si="70"/>
        <v>178.16666666666669</v>
      </c>
      <c r="F444" s="123">
        <f t="shared" si="68"/>
        <v>1069</v>
      </c>
      <c r="O444" s="194">
        <v>380</v>
      </c>
      <c r="P444" s="198">
        <v>375</v>
      </c>
      <c r="R444" s="367">
        <v>694</v>
      </c>
      <c r="S444" s="182">
        <f t="shared" si="64"/>
        <v>1.8263157894736841</v>
      </c>
    </row>
    <row r="445" spans="1:19" ht="16.5" outlineLevel="1" thickBot="1" x14ac:dyDescent="0.3">
      <c r="A445" s="25" t="s">
        <v>3028</v>
      </c>
      <c r="B445" s="181" t="s">
        <v>2852</v>
      </c>
      <c r="C445" s="94" t="s">
        <v>549</v>
      </c>
      <c r="D445" s="123">
        <f t="shared" si="69"/>
        <v>910.83333333333337</v>
      </c>
      <c r="E445" s="123">
        <f t="shared" si="70"/>
        <v>182.16666666666669</v>
      </c>
      <c r="F445" s="123">
        <f t="shared" si="68"/>
        <v>1093</v>
      </c>
      <c r="O445" s="194">
        <v>445</v>
      </c>
      <c r="P445" s="198">
        <v>375</v>
      </c>
      <c r="R445" s="367">
        <v>718</v>
      </c>
      <c r="S445" s="182">
        <f t="shared" si="64"/>
        <v>1.6134831460674157</v>
      </c>
    </row>
    <row r="446" spans="1:19" ht="16.5" outlineLevel="1" thickBot="1" x14ac:dyDescent="0.3">
      <c r="A446" s="25" t="s">
        <v>3029</v>
      </c>
      <c r="B446" s="181" t="s">
        <v>2853</v>
      </c>
      <c r="C446" s="94" t="s">
        <v>549</v>
      </c>
      <c r="D446" s="123">
        <f t="shared" si="69"/>
        <v>910.83333333333337</v>
      </c>
      <c r="E446" s="123">
        <f t="shared" si="70"/>
        <v>182.16666666666669</v>
      </c>
      <c r="F446" s="123">
        <f t="shared" si="68"/>
        <v>1093</v>
      </c>
      <c r="O446" s="194">
        <v>445</v>
      </c>
      <c r="P446" s="198">
        <v>375</v>
      </c>
      <c r="R446" s="367">
        <v>718</v>
      </c>
      <c r="S446" s="182">
        <f t="shared" si="64"/>
        <v>1.6134831460674157</v>
      </c>
    </row>
    <row r="447" spans="1:19" ht="32.25" outlineLevel="1" thickBot="1" x14ac:dyDescent="0.3">
      <c r="A447" s="25" t="s">
        <v>3030</v>
      </c>
      <c r="B447" s="181" t="s">
        <v>2903</v>
      </c>
      <c r="C447" s="94" t="s">
        <v>549</v>
      </c>
      <c r="D447" s="123">
        <f t="shared" si="69"/>
        <v>770.83333333333337</v>
      </c>
      <c r="E447" s="123">
        <f t="shared" si="70"/>
        <v>154.16666666666669</v>
      </c>
      <c r="F447" s="123">
        <f t="shared" si="68"/>
        <v>925</v>
      </c>
      <c r="O447" s="194">
        <v>395</v>
      </c>
      <c r="P447" s="198">
        <v>375</v>
      </c>
      <c r="R447" s="367">
        <v>550</v>
      </c>
      <c r="S447" s="182">
        <f t="shared" si="64"/>
        <v>1.3924050632911393</v>
      </c>
    </row>
    <row r="448" spans="1:19" ht="32.25" outlineLevel="1" thickBot="1" x14ac:dyDescent="0.3">
      <c r="A448" s="25" t="s">
        <v>3031</v>
      </c>
      <c r="B448" s="181" t="s">
        <v>2854</v>
      </c>
      <c r="C448" s="94" t="s">
        <v>549</v>
      </c>
      <c r="D448" s="123">
        <f t="shared" si="69"/>
        <v>770.83333333333337</v>
      </c>
      <c r="E448" s="123">
        <f t="shared" si="70"/>
        <v>154.16666666666669</v>
      </c>
      <c r="F448" s="123">
        <f t="shared" si="68"/>
        <v>925</v>
      </c>
      <c r="O448" s="194">
        <v>395</v>
      </c>
      <c r="P448" s="198">
        <v>375</v>
      </c>
      <c r="R448" s="367">
        <v>550</v>
      </c>
      <c r="S448" s="182">
        <f t="shared" si="64"/>
        <v>1.3924050632911393</v>
      </c>
    </row>
    <row r="449" spans="1:19" ht="16.5" outlineLevel="1" thickBot="1" x14ac:dyDescent="0.3">
      <c r="A449" s="25" t="s">
        <v>3032</v>
      </c>
      <c r="B449" s="181" t="s">
        <v>2855</v>
      </c>
      <c r="C449" s="94" t="s">
        <v>549</v>
      </c>
      <c r="D449" s="123">
        <f t="shared" si="69"/>
        <v>770.83333333333337</v>
      </c>
      <c r="E449" s="123">
        <f t="shared" si="70"/>
        <v>154.16666666666669</v>
      </c>
      <c r="F449" s="123">
        <f t="shared" si="68"/>
        <v>925</v>
      </c>
      <c r="O449" s="194">
        <v>395</v>
      </c>
      <c r="P449" s="198">
        <v>375</v>
      </c>
      <c r="R449" s="367">
        <v>550</v>
      </c>
      <c r="S449" s="182">
        <f t="shared" si="64"/>
        <v>1.3924050632911393</v>
      </c>
    </row>
    <row r="450" spans="1:19" ht="32.25" outlineLevel="1" thickBot="1" x14ac:dyDescent="0.3">
      <c r="A450" s="25" t="s">
        <v>3033</v>
      </c>
      <c r="B450" s="181" t="s">
        <v>3011</v>
      </c>
      <c r="C450" s="94" t="s">
        <v>549</v>
      </c>
      <c r="D450" s="123">
        <f t="shared" si="69"/>
        <v>795.83333333333337</v>
      </c>
      <c r="E450" s="123">
        <f t="shared" si="70"/>
        <v>159.16666666666669</v>
      </c>
      <c r="F450" s="123">
        <f t="shared" si="68"/>
        <v>955</v>
      </c>
      <c r="O450" s="194">
        <v>320</v>
      </c>
      <c r="P450" s="198">
        <v>375</v>
      </c>
      <c r="R450" s="367">
        <v>580</v>
      </c>
      <c r="S450" s="182">
        <f t="shared" si="64"/>
        <v>1.8125</v>
      </c>
    </row>
    <row r="451" spans="1:19" ht="16.5" outlineLevel="1" thickBot="1" x14ac:dyDescent="0.3">
      <c r="A451" s="25" t="s">
        <v>3034</v>
      </c>
      <c r="B451" s="181" t="s">
        <v>3012</v>
      </c>
      <c r="C451" s="94" t="s">
        <v>549</v>
      </c>
      <c r="D451" s="123">
        <f t="shared" si="69"/>
        <v>795.83333333333337</v>
      </c>
      <c r="E451" s="123">
        <f t="shared" si="70"/>
        <v>159.16666666666669</v>
      </c>
      <c r="F451" s="123">
        <f t="shared" si="68"/>
        <v>955</v>
      </c>
      <c r="O451" s="194">
        <v>320</v>
      </c>
      <c r="P451" s="198">
        <v>375</v>
      </c>
      <c r="R451" s="367">
        <v>580</v>
      </c>
      <c r="S451" s="182">
        <f t="shared" si="64"/>
        <v>1.8125</v>
      </c>
    </row>
    <row r="452" spans="1:19" ht="16.5" outlineLevel="1" thickBot="1" x14ac:dyDescent="0.3">
      <c r="A452" s="25" t="s">
        <v>3035</v>
      </c>
      <c r="B452" s="181" t="s">
        <v>2857</v>
      </c>
      <c r="C452" s="94" t="s">
        <v>549</v>
      </c>
      <c r="D452" s="123">
        <f t="shared" si="69"/>
        <v>853.33333333333337</v>
      </c>
      <c r="E452" s="123">
        <f t="shared" si="70"/>
        <v>170.66666666666669</v>
      </c>
      <c r="F452" s="123">
        <f t="shared" si="68"/>
        <v>1024</v>
      </c>
      <c r="O452" s="194">
        <v>445</v>
      </c>
      <c r="P452" s="198">
        <v>375</v>
      </c>
      <c r="R452" s="367">
        <v>649</v>
      </c>
      <c r="S452" s="182">
        <f t="shared" si="64"/>
        <v>1.4584269662921348</v>
      </c>
    </row>
    <row r="453" spans="1:19" ht="16.5" outlineLevel="1" thickBot="1" x14ac:dyDescent="0.3">
      <c r="A453" s="25" t="s">
        <v>3036</v>
      </c>
      <c r="B453" s="181" t="s">
        <v>2856</v>
      </c>
      <c r="C453" s="94" t="s">
        <v>549</v>
      </c>
      <c r="D453" s="123">
        <f t="shared" si="69"/>
        <v>853.33333333333337</v>
      </c>
      <c r="E453" s="123">
        <f t="shared" si="70"/>
        <v>170.66666666666669</v>
      </c>
      <c r="F453" s="123">
        <f t="shared" si="68"/>
        <v>1024</v>
      </c>
      <c r="O453" s="194">
        <v>445</v>
      </c>
      <c r="P453" s="198">
        <v>375</v>
      </c>
      <c r="R453" s="367">
        <v>649</v>
      </c>
      <c r="S453" s="182">
        <f t="shared" si="64"/>
        <v>1.4584269662921348</v>
      </c>
    </row>
    <row r="454" spans="1:19" ht="32.25" outlineLevel="1" thickBot="1" x14ac:dyDescent="0.3">
      <c r="A454" s="25" t="s">
        <v>3037</v>
      </c>
      <c r="B454" s="181" t="s">
        <v>2858</v>
      </c>
      <c r="C454" s="94" t="s">
        <v>549</v>
      </c>
      <c r="D454" s="123">
        <f t="shared" si="69"/>
        <v>810.83333333333337</v>
      </c>
      <c r="E454" s="123">
        <f t="shared" si="70"/>
        <v>162.16666666666669</v>
      </c>
      <c r="F454" s="123">
        <f t="shared" si="68"/>
        <v>973</v>
      </c>
      <c r="O454" s="194">
        <v>515</v>
      </c>
      <c r="P454" s="198">
        <v>375</v>
      </c>
      <c r="R454" s="367">
        <v>598</v>
      </c>
      <c r="S454" s="182">
        <f t="shared" si="64"/>
        <v>1.1611650485436893</v>
      </c>
    </row>
    <row r="455" spans="1:19" ht="16.5" outlineLevel="1" thickBot="1" x14ac:dyDescent="0.3">
      <c r="A455" s="25" t="s">
        <v>3038</v>
      </c>
      <c r="B455" s="181" t="s">
        <v>2761</v>
      </c>
      <c r="C455" s="94" t="s">
        <v>549</v>
      </c>
      <c r="D455" s="123">
        <f t="shared" si="69"/>
        <v>768.33333333333337</v>
      </c>
      <c r="E455" s="123">
        <f t="shared" si="70"/>
        <v>153.66666666666669</v>
      </c>
      <c r="F455" s="123">
        <f t="shared" si="68"/>
        <v>922</v>
      </c>
      <c r="O455" s="194">
        <v>320</v>
      </c>
      <c r="P455" s="198">
        <v>375</v>
      </c>
      <c r="R455" s="367">
        <v>547</v>
      </c>
      <c r="S455" s="182">
        <f t="shared" si="64"/>
        <v>1.7093750000000001</v>
      </c>
    </row>
    <row r="456" spans="1:19" ht="32.25" outlineLevel="1" thickBot="1" x14ac:dyDescent="0.3">
      <c r="A456" s="25" t="s">
        <v>3039</v>
      </c>
      <c r="B456" s="181" t="s">
        <v>2859</v>
      </c>
      <c r="C456" s="94" t="s">
        <v>549</v>
      </c>
      <c r="D456" s="123">
        <f t="shared" si="69"/>
        <v>768.33333333333337</v>
      </c>
      <c r="E456" s="123">
        <f t="shared" si="70"/>
        <v>153.66666666666669</v>
      </c>
      <c r="F456" s="123">
        <f t="shared" si="68"/>
        <v>922</v>
      </c>
      <c r="O456" s="194">
        <v>320</v>
      </c>
      <c r="P456" s="198">
        <v>375</v>
      </c>
      <c r="R456" s="367">
        <v>547</v>
      </c>
      <c r="S456" s="182">
        <f t="shared" si="64"/>
        <v>1.7093750000000001</v>
      </c>
    </row>
    <row r="457" spans="1:19" ht="16.5" outlineLevel="1" thickBot="1" x14ac:dyDescent="0.3">
      <c r="A457" s="25" t="s">
        <v>3040</v>
      </c>
      <c r="B457" s="181" t="s">
        <v>2860</v>
      </c>
      <c r="C457" s="94" t="s">
        <v>549</v>
      </c>
      <c r="D457" s="123">
        <f t="shared" si="69"/>
        <v>768.33333333333337</v>
      </c>
      <c r="E457" s="123">
        <f t="shared" si="70"/>
        <v>153.66666666666669</v>
      </c>
      <c r="F457" s="123">
        <f t="shared" si="68"/>
        <v>922</v>
      </c>
      <c r="O457" s="194">
        <v>320</v>
      </c>
      <c r="P457" s="198">
        <v>375</v>
      </c>
      <c r="R457" s="367">
        <v>547</v>
      </c>
      <c r="S457" s="182">
        <f t="shared" si="64"/>
        <v>1.7093750000000001</v>
      </c>
    </row>
    <row r="458" spans="1:19" ht="32.25" outlineLevel="1" thickBot="1" x14ac:dyDescent="0.3">
      <c r="A458" s="25" t="s">
        <v>3041</v>
      </c>
      <c r="B458" s="181" t="s">
        <v>2861</v>
      </c>
      <c r="C458" s="94" t="s">
        <v>549</v>
      </c>
      <c r="D458" s="123">
        <f t="shared" si="69"/>
        <v>706.66666666666674</v>
      </c>
      <c r="E458" s="123">
        <f t="shared" si="70"/>
        <v>141.33333333333334</v>
      </c>
      <c r="F458" s="123">
        <f t="shared" si="68"/>
        <v>848</v>
      </c>
      <c r="O458" s="194">
        <v>325</v>
      </c>
      <c r="P458" s="198">
        <v>375</v>
      </c>
      <c r="R458" s="367">
        <v>473</v>
      </c>
      <c r="S458" s="182">
        <f t="shared" si="64"/>
        <v>1.4553846153846153</v>
      </c>
    </row>
    <row r="459" spans="1:19" ht="16.5" outlineLevel="1" thickBot="1" x14ac:dyDescent="0.3">
      <c r="A459" s="25" t="s">
        <v>3042</v>
      </c>
      <c r="B459" s="181" t="s">
        <v>2862</v>
      </c>
      <c r="C459" s="94" t="s">
        <v>549</v>
      </c>
      <c r="D459" s="123">
        <f t="shared" si="69"/>
        <v>706.66666666666674</v>
      </c>
      <c r="E459" s="123">
        <f t="shared" si="70"/>
        <v>141.33333333333334</v>
      </c>
      <c r="F459" s="123">
        <f t="shared" si="68"/>
        <v>848</v>
      </c>
      <c r="O459" s="194">
        <v>325</v>
      </c>
      <c r="P459" s="198">
        <v>375</v>
      </c>
      <c r="R459" s="367">
        <v>473</v>
      </c>
      <c r="S459" s="182">
        <f t="shared" ref="S459:S469" si="71">R459/O459</f>
        <v>1.4553846153846153</v>
      </c>
    </row>
    <row r="460" spans="1:19" ht="16.5" outlineLevel="1" thickBot="1" x14ac:dyDescent="0.3">
      <c r="A460" s="25" t="s">
        <v>3043</v>
      </c>
      <c r="B460" s="181" t="s">
        <v>2863</v>
      </c>
      <c r="C460" s="94" t="s">
        <v>549</v>
      </c>
      <c r="D460" s="123">
        <f t="shared" si="69"/>
        <v>701.66666666666674</v>
      </c>
      <c r="E460" s="123">
        <f t="shared" si="70"/>
        <v>140.33333333333334</v>
      </c>
      <c r="F460" s="123">
        <f t="shared" si="68"/>
        <v>842</v>
      </c>
      <c r="O460" s="194">
        <v>390</v>
      </c>
      <c r="P460" s="198">
        <v>375</v>
      </c>
      <c r="R460" s="367">
        <v>467</v>
      </c>
      <c r="S460" s="182">
        <f t="shared" si="71"/>
        <v>1.1974358974358974</v>
      </c>
    </row>
    <row r="461" spans="1:19" ht="19.5" thickBot="1" x14ac:dyDescent="0.3">
      <c r="A461" s="407" t="s">
        <v>2873</v>
      </c>
      <c r="B461" s="452"/>
      <c r="C461" s="452"/>
      <c r="D461" s="452"/>
      <c r="E461" s="452"/>
      <c r="F461" s="409"/>
      <c r="P461" s="198"/>
      <c r="R461" s="367"/>
      <c r="S461" s="182"/>
    </row>
    <row r="462" spans="1:19" ht="32.25" outlineLevel="1" thickBot="1" x14ac:dyDescent="0.3">
      <c r="A462" s="25" t="s">
        <v>3045</v>
      </c>
      <c r="B462" s="181" t="s">
        <v>3044</v>
      </c>
      <c r="C462" s="94" t="s">
        <v>549</v>
      </c>
      <c r="D462" s="123">
        <f t="shared" ref="D462:D463" si="72">F462/1.2</f>
        <v>1135.8333333333335</v>
      </c>
      <c r="E462" s="123">
        <f t="shared" si="70"/>
        <v>227.16666666666671</v>
      </c>
      <c r="F462" s="123">
        <f t="shared" si="68"/>
        <v>1363</v>
      </c>
      <c r="O462" s="194">
        <v>570</v>
      </c>
      <c r="P462" s="198">
        <v>375</v>
      </c>
      <c r="R462" s="367">
        <v>988</v>
      </c>
      <c r="S462" s="182">
        <f t="shared" si="71"/>
        <v>1.7333333333333334</v>
      </c>
    </row>
    <row r="463" spans="1:19" ht="32.25" outlineLevel="1" thickBot="1" x14ac:dyDescent="0.3">
      <c r="A463" s="25" t="s">
        <v>3046</v>
      </c>
      <c r="B463" s="181" t="s">
        <v>2977</v>
      </c>
      <c r="C463" s="94" t="s">
        <v>549</v>
      </c>
      <c r="D463" s="123">
        <f t="shared" si="72"/>
        <v>1607.5</v>
      </c>
      <c r="E463" s="123">
        <f t="shared" si="70"/>
        <v>321.5</v>
      </c>
      <c r="F463" s="123">
        <f t="shared" si="68"/>
        <v>1929</v>
      </c>
      <c r="O463" s="194">
        <v>1235</v>
      </c>
      <c r="P463" s="198">
        <v>375</v>
      </c>
      <c r="R463" s="367">
        <v>1554</v>
      </c>
      <c r="S463" s="182">
        <f t="shared" si="71"/>
        <v>1.2582995951417004</v>
      </c>
    </row>
    <row r="464" spans="1:19" ht="19.5" thickBot="1" x14ac:dyDescent="0.3">
      <c r="A464" s="407" t="s">
        <v>2874</v>
      </c>
      <c r="B464" s="452"/>
      <c r="C464" s="452"/>
      <c r="D464" s="452"/>
      <c r="E464" s="452"/>
      <c r="F464" s="409"/>
      <c r="P464" s="198"/>
      <c r="R464" s="367"/>
      <c r="S464" s="182"/>
    </row>
    <row r="465" spans="1:19" ht="16.5" outlineLevel="1" thickBot="1" x14ac:dyDescent="0.3">
      <c r="A465" s="25" t="s">
        <v>3047</v>
      </c>
      <c r="B465" s="181" t="s">
        <v>3742</v>
      </c>
      <c r="C465" s="94" t="s">
        <v>549</v>
      </c>
      <c r="D465" s="123">
        <f t="shared" ref="D465:D469" si="73">F465/1.2</f>
        <v>974.16666666666674</v>
      </c>
      <c r="E465" s="123">
        <f t="shared" si="70"/>
        <v>194.83333333333337</v>
      </c>
      <c r="F465" s="123">
        <f t="shared" si="68"/>
        <v>1169</v>
      </c>
      <c r="O465" s="194">
        <v>630</v>
      </c>
      <c r="P465" s="198">
        <v>375</v>
      </c>
      <c r="R465" s="367">
        <v>794</v>
      </c>
      <c r="S465" s="182">
        <f t="shared" si="71"/>
        <v>1.2603174603174603</v>
      </c>
    </row>
    <row r="466" spans="1:19" ht="16.5" outlineLevel="1" thickBot="1" x14ac:dyDescent="0.3">
      <c r="A466" s="25" t="s">
        <v>3048</v>
      </c>
      <c r="B466" s="181" t="s">
        <v>3743</v>
      </c>
      <c r="C466" s="94" t="s">
        <v>549</v>
      </c>
      <c r="D466" s="123">
        <f t="shared" si="73"/>
        <v>662.5</v>
      </c>
      <c r="E466" s="123">
        <f t="shared" si="70"/>
        <v>132.5</v>
      </c>
      <c r="F466" s="123">
        <f t="shared" si="68"/>
        <v>795</v>
      </c>
      <c r="O466" s="194">
        <v>325</v>
      </c>
      <c r="P466" s="198">
        <v>375</v>
      </c>
      <c r="R466" s="367">
        <v>420</v>
      </c>
      <c r="S466" s="182">
        <f t="shared" si="71"/>
        <v>1.2923076923076924</v>
      </c>
    </row>
    <row r="467" spans="1:19" ht="16.5" outlineLevel="1" thickBot="1" x14ac:dyDescent="0.3">
      <c r="A467" s="25" t="s">
        <v>3049</v>
      </c>
      <c r="B467" s="181" t="s">
        <v>3743</v>
      </c>
      <c r="C467" s="94" t="s">
        <v>549</v>
      </c>
      <c r="D467" s="123">
        <f t="shared" si="73"/>
        <v>704.16666666666674</v>
      </c>
      <c r="E467" s="123">
        <f t="shared" si="70"/>
        <v>140.83333333333334</v>
      </c>
      <c r="F467" s="123">
        <f t="shared" si="68"/>
        <v>845</v>
      </c>
      <c r="O467" s="194">
        <v>320</v>
      </c>
      <c r="P467" s="198">
        <v>375</v>
      </c>
      <c r="R467" s="367">
        <v>470</v>
      </c>
      <c r="S467" s="182">
        <f t="shared" si="71"/>
        <v>1.46875</v>
      </c>
    </row>
    <row r="468" spans="1:19" ht="16.5" outlineLevel="1" thickBot="1" x14ac:dyDescent="0.3">
      <c r="A468" s="25" t="s">
        <v>3050</v>
      </c>
      <c r="B468" s="181" t="s">
        <v>3744</v>
      </c>
      <c r="C468" s="94" t="s">
        <v>549</v>
      </c>
      <c r="D468" s="123">
        <f t="shared" si="73"/>
        <v>709.16666666666674</v>
      </c>
      <c r="E468" s="123">
        <f t="shared" si="70"/>
        <v>141.83333333333334</v>
      </c>
      <c r="F468" s="123">
        <f t="shared" si="68"/>
        <v>851</v>
      </c>
      <c r="O468" s="194">
        <v>390</v>
      </c>
      <c r="P468" s="198">
        <v>375</v>
      </c>
      <c r="R468" s="367">
        <v>476</v>
      </c>
      <c r="S468" s="182">
        <f t="shared" si="71"/>
        <v>1.2205128205128206</v>
      </c>
    </row>
    <row r="469" spans="1:19" ht="48" outlineLevel="1" thickBot="1" x14ac:dyDescent="0.3">
      <c r="A469" s="25" t="s">
        <v>3051</v>
      </c>
      <c r="B469" s="181" t="s">
        <v>3745</v>
      </c>
      <c r="C469" s="94" t="s">
        <v>549</v>
      </c>
      <c r="D469" s="123">
        <f t="shared" si="73"/>
        <v>2076.666666666667</v>
      </c>
      <c r="E469" s="123">
        <f t="shared" si="70"/>
        <v>415.33333333333343</v>
      </c>
      <c r="F469" s="123">
        <f t="shared" si="68"/>
        <v>2492</v>
      </c>
      <c r="O469" s="194">
        <v>1850</v>
      </c>
      <c r="P469" s="198">
        <v>375</v>
      </c>
      <c r="R469" s="367">
        <v>2117</v>
      </c>
      <c r="S469" s="182">
        <f t="shared" si="71"/>
        <v>1.1443243243243244</v>
      </c>
    </row>
    <row r="470" spans="1:19" ht="18.75" x14ac:dyDescent="0.25">
      <c r="A470" s="407" t="s">
        <v>3240</v>
      </c>
      <c r="B470" s="452"/>
      <c r="C470" s="452"/>
      <c r="D470" s="452"/>
      <c r="E470" s="452"/>
      <c r="F470" s="409"/>
      <c r="O470" s="271"/>
      <c r="P470" s="198"/>
      <c r="S470" s="182"/>
    </row>
    <row r="471" spans="1:19" ht="31.5" outlineLevel="1" x14ac:dyDescent="0.25">
      <c r="A471" s="25" t="s">
        <v>3241</v>
      </c>
      <c r="B471" s="181" t="s">
        <v>3245</v>
      </c>
      <c r="C471" s="94" t="s">
        <v>549</v>
      </c>
      <c r="D471" s="123">
        <f t="shared" ref="D471:D474" si="74">F471/1.2</f>
        <v>1446.6666666666667</v>
      </c>
      <c r="E471" s="123">
        <f t="shared" si="70"/>
        <v>289.33333333333337</v>
      </c>
      <c r="F471" s="123">
        <f t="shared" si="68"/>
        <v>1736</v>
      </c>
      <c r="O471" s="271"/>
      <c r="P471" s="198">
        <v>375</v>
      </c>
      <c r="R471" s="367">
        <v>1361</v>
      </c>
      <c r="S471" s="182"/>
    </row>
    <row r="472" spans="1:19" ht="31.5" outlineLevel="1" x14ac:dyDescent="0.25">
      <c r="A472" s="25" t="s">
        <v>3242</v>
      </c>
      <c r="B472" s="181" t="s">
        <v>3246</v>
      </c>
      <c r="C472" s="94" t="s">
        <v>549</v>
      </c>
      <c r="D472" s="123">
        <f t="shared" si="74"/>
        <v>1446.6666666666667</v>
      </c>
      <c r="E472" s="123">
        <f t="shared" si="70"/>
        <v>289.33333333333337</v>
      </c>
      <c r="F472" s="123">
        <f t="shared" si="68"/>
        <v>1736</v>
      </c>
      <c r="O472" s="271"/>
      <c r="P472" s="198">
        <v>375</v>
      </c>
      <c r="R472" s="367">
        <v>1361</v>
      </c>
      <c r="S472" s="182"/>
    </row>
    <row r="473" spans="1:19" ht="31.5" outlineLevel="1" x14ac:dyDescent="0.25">
      <c r="A473" s="25" t="s">
        <v>3243</v>
      </c>
      <c r="B473" s="181" t="s">
        <v>3738</v>
      </c>
      <c r="C473" s="94" t="s">
        <v>549</v>
      </c>
      <c r="D473" s="123">
        <f t="shared" si="74"/>
        <v>1446.6666666666667</v>
      </c>
      <c r="E473" s="123">
        <f t="shared" si="70"/>
        <v>289.33333333333337</v>
      </c>
      <c r="F473" s="123">
        <f t="shared" si="68"/>
        <v>1736</v>
      </c>
      <c r="O473" s="271"/>
      <c r="P473" s="198">
        <v>375</v>
      </c>
      <c r="R473" s="367">
        <v>1361</v>
      </c>
      <c r="S473" s="182"/>
    </row>
    <row r="474" spans="1:19" ht="31.5" outlineLevel="1" x14ac:dyDescent="0.25">
      <c r="A474" s="25" t="s">
        <v>3244</v>
      </c>
      <c r="B474" s="181" t="s">
        <v>3739</v>
      </c>
      <c r="C474" s="94" t="s">
        <v>549</v>
      </c>
      <c r="D474" s="123">
        <f t="shared" si="74"/>
        <v>1446.6666666666667</v>
      </c>
      <c r="E474" s="123">
        <f t="shared" si="70"/>
        <v>289.33333333333337</v>
      </c>
      <c r="F474" s="123">
        <f t="shared" si="68"/>
        <v>1736</v>
      </c>
      <c r="O474" s="271"/>
      <c r="P474" s="198">
        <v>375</v>
      </c>
      <c r="R474" s="367">
        <v>1361</v>
      </c>
      <c r="S474" s="182"/>
    </row>
    <row r="475" spans="1:19" x14ac:dyDescent="0.25">
      <c r="A475" s="49"/>
      <c r="B475" s="272"/>
      <c r="C475" s="273"/>
      <c r="D475" s="274"/>
      <c r="E475" s="274"/>
      <c r="F475" s="274"/>
      <c r="O475" s="369">
        <f>SUM(O11:O474)</f>
        <v>1009896</v>
      </c>
      <c r="P475" s="226"/>
      <c r="R475" s="369">
        <f>SUM(R11:R474)</f>
        <v>990101.34</v>
      </c>
    </row>
    <row r="476" spans="1:19" ht="6.75" customHeight="1" x14ac:dyDescent="0.25">
      <c r="A476" s="49"/>
      <c r="B476" s="221"/>
      <c r="C476" s="81"/>
      <c r="D476" s="81"/>
      <c r="E476" s="81"/>
      <c r="F476" s="72"/>
      <c r="O476" s="171"/>
      <c r="P476" s="1"/>
    </row>
    <row r="477" spans="1:19" s="101" customFormat="1" ht="18.75" x14ac:dyDescent="0.25">
      <c r="A477" s="419" t="s">
        <v>1219</v>
      </c>
      <c r="B477" s="419"/>
      <c r="C477" s="419"/>
      <c r="D477" s="419"/>
      <c r="E477" s="419"/>
      <c r="F477" s="419"/>
      <c r="G477" s="168"/>
      <c r="H477" s="168"/>
      <c r="I477" s="168"/>
      <c r="J477" s="168"/>
      <c r="K477" s="168"/>
      <c r="L477" s="168"/>
      <c r="O477" s="176"/>
    </row>
    <row r="478" spans="1:19" s="101" customFormat="1" ht="9" customHeight="1" x14ac:dyDescent="0.3">
      <c r="A478" s="102"/>
      <c r="B478" s="103"/>
      <c r="C478" s="103"/>
      <c r="D478" s="124"/>
      <c r="E478" s="124"/>
      <c r="F478" s="124"/>
      <c r="G478" s="168"/>
      <c r="H478" s="168"/>
      <c r="I478" s="168"/>
      <c r="J478" s="168"/>
      <c r="K478" s="168"/>
      <c r="L478" s="168"/>
      <c r="O478" s="176"/>
    </row>
    <row r="479" spans="1:19" s="101" customFormat="1" ht="52.5" customHeight="1" x14ac:dyDescent="0.25">
      <c r="A479" s="420" t="s">
        <v>1224</v>
      </c>
      <c r="B479" s="420"/>
      <c r="C479" s="420"/>
      <c r="D479" s="420"/>
      <c r="E479" s="420"/>
      <c r="F479" s="420"/>
      <c r="G479" s="168"/>
      <c r="H479" s="168"/>
      <c r="I479" s="168"/>
      <c r="J479" s="168"/>
      <c r="K479" s="168"/>
      <c r="L479" s="168"/>
      <c r="O479" s="176"/>
    </row>
    <row r="480" spans="1:19" s="101" customFormat="1" ht="6" customHeight="1" x14ac:dyDescent="0.3">
      <c r="A480" s="102"/>
      <c r="B480" s="103"/>
      <c r="C480" s="103"/>
      <c r="D480" s="124"/>
      <c r="E480" s="124"/>
      <c r="F480" s="124"/>
      <c r="G480" s="168"/>
      <c r="H480" s="168"/>
      <c r="I480" s="168"/>
      <c r="J480" s="168"/>
      <c r="K480" s="168"/>
      <c r="L480" s="168"/>
      <c r="O480" s="176"/>
    </row>
    <row r="481" spans="1:16" s="101" customFormat="1" ht="52.5" customHeight="1" x14ac:dyDescent="0.25">
      <c r="A481" s="421" t="s">
        <v>1223</v>
      </c>
      <c r="B481" s="421"/>
      <c r="C481" s="421"/>
      <c r="D481" s="421"/>
      <c r="E481" s="421"/>
      <c r="F481" s="421"/>
      <c r="G481" s="168"/>
      <c r="H481" s="168"/>
      <c r="I481" s="168"/>
      <c r="J481" s="168"/>
      <c r="K481" s="168"/>
      <c r="L481" s="168"/>
      <c r="O481" s="176"/>
    </row>
    <row r="482" spans="1:16" s="48" customFormat="1" ht="6" customHeight="1" x14ac:dyDescent="0.25">
      <c r="A482" s="416"/>
      <c r="B482" s="416"/>
      <c r="C482" s="416"/>
      <c r="D482" s="416"/>
      <c r="E482" s="416"/>
      <c r="F482" s="416"/>
      <c r="G482" s="169"/>
      <c r="H482" s="169"/>
      <c r="I482" s="170"/>
      <c r="J482" s="169"/>
      <c r="K482" s="169"/>
      <c r="L482" s="169"/>
      <c r="O482" s="199"/>
    </row>
    <row r="483" spans="1:16" ht="35.25" customHeight="1" x14ac:dyDescent="0.25">
      <c r="A483" s="457"/>
      <c r="B483" s="457"/>
      <c r="C483" s="457"/>
      <c r="D483" s="457"/>
      <c r="E483" s="457"/>
      <c r="F483" s="457"/>
      <c r="O483" s="171"/>
      <c r="P483" s="1"/>
    </row>
  </sheetData>
  <autoFilter ref="A8:L266">
    <filterColumn colId="9" showButton="0"/>
  </autoFilter>
  <mergeCells count="45">
    <mergeCell ref="A482:F482"/>
    <mergeCell ref="A483:F483"/>
    <mergeCell ref="A461:F461"/>
    <mergeCell ref="A464:F464"/>
    <mergeCell ref="A477:F477"/>
    <mergeCell ref="A479:F479"/>
    <mergeCell ref="A481:F481"/>
    <mergeCell ref="A470:F470"/>
    <mergeCell ref="A332:F332"/>
    <mergeCell ref="A344:F344"/>
    <mergeCell ref="A404:F404"/>
    <mergeCell ref="A419:F419"/>
    <mergeCell ref="A429:F429"/>
    <mergeCell ref="A265:F265"/>
    <mergeCell ref="A267:F267"/>
    <mergeCell ref="A244:F244"/>
    <mergeCell ref="A87:F87"/>
    <mergeCell ref="A93:F93"/>
    <mergeCell ref="A153:F153"/>
    <mergeCell ref="A157:F157"/>
    <mergeCell ref="A201:F201"/>
    <mergeCell ref="A202:F202"/>
    <mergeCell ref="A214:F214"/>
    <mergeCell ref="A216:F216"/>
    <mergeCell ref="A229:F229"/>
    <mergeCell ref="A231:F231"/>
    <mergeCell ref="A241:F241"/>
    <mergeCell ref="A77:F77"/>
    <mergeCell ref="A9:F9"/>
    <mergeCell ref="A10:F10"/>
    <mergeCell ref="A18:F18"/>
    <mergeCell ref="A25:F25"/>
    <mergeCell ref="A43:F43"/>
    <mergeCell ref="A48:F48"/>
    <mergeCell ref="A50:F50"/>
    <mergeCell ref="A60:F60"/>
    <mergeCell ref="A65:F65"/>
    <mergeCell ref="A67:F67"/>
    <mergeCell ref="A76:F76"/>
    <mergeCell ref="J8:K8"/>
    <mergeCell ref="B3:F3"/>
    <mergeCell ref="A4:F4"/>
    <mergeCell ref="A5:F5"/>
    <mergeCell ref="A6:F6"/>
    <mergeCell ref="A7:F7"/>
  </mergeCells>
  <printOptions horizontalCentered="1"/>
  <pageMargins left="0.59055118110236227" right="0.19685039370078741" top="0.39370078740157483" bottom="0.19685039370078741" header="0" footer="0"/>
  <pageSetup paperSize="9" scale="67" fitToHeight="13" orientation="portrait" r:id="rId1"/>
  <headerFooter>
    <oddFooter>&amp;C&amp;P</oddFooter>
  </headerFooter>
  <rowBreaks count="10" manualBreakCount="10">
    <brk id="62" max="5" man="1"/>
    <brk id="92" max="5" man="1"/>
    <brk id="117" max="5" man="1"/>
    <brk id="140" max="5" man="1"/>
    <brk id="171" max="5" man="1"/>
    <brk id="200" max="5" man="1"/>
    <brk id="235" max="5" man="1"/>
    <brk id="367" max="5" man="1"/>
    <brk id="411" max="5" man="1"/>
    <brk id="454" max="5"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120" zoomScaleNormal="120" workbookViewId="0">
      <selection activeCell="B7" sqref="B7"/>
    </sheetView>
  </sheetViews>
  <sheetFormatPr defaultColWidth="8.5703125" defaultRowHeight="15" x14ac:dyDescent="0.25"/>
  <cols>
    <col min="1" max="1" width="6.7109375" style="48" customWidth="1"/>
    <col min="2" max="2" width="83.85546875" style="1" customWidth="1"/>
    <col min="3" max="16384" width="8.5703125" style="1"/>
  </cols>
  <sheetData>
    <row r="1" spans="1:3" x14ac:dyDescent="0.25">
      <c r="B1" s="21" t="s">
        <v>260</v>
      </c>
    </row>
    <row r="2" spans="1:3" ht="58.9" customHeight="1" x14ac:dyDescent="0.35">
      <c r="A2" s="466" t="s">
        <v>387</v>
      </c>
      <c r="B2" s="466"/>
      <c r="C2" s="3"/>
    </row>
    <row r="3" spans="1:3" ht="37.5" x14ac:dyDescent="0.25">
      <c r="A3" s="16" t="s">
        <v>0</v>
      </c>
      <c r="B3" s="16" t="s">
        <v>1</v>
      </c>
      <c r="C3" s="13" t="s">
        <v>239</v>
      </c>
    </row>
    <row r="4" spans="1:3" ht="18.75" x14ac:dyDescent="0.25">
      <c r="A4" s="467" t="s">
        <v>4</v>
      </c>
      <c r="B4" s="467"/>
    </row>
    <row r="5" spans="1:3" ht="55.9" customHeight="1" x14ac:dyDescent="0.25">
      <c r="A5" s="99" t="s">
        <v>5</v>
      </c>
      <c r="B5" s="12" t="s">
        <v>2680</v>
      </c>
      <c r="C5" s="1" t="s">
        <v>239</v>
      </c>
    </row>
    <row r="6" spans="1:3" ht="37.5" x14ac:dyDescent="0.25">
      <c r="A6" s="99" t="s">
        <v>7</v>
      </c>
      <c r="B6" s="12" t="s">
        <v>3210</v>
      </c>
      <c r="C6" s="14" t="s">
        <v>239</v>
      </c>
    </row>
    <row r="7" spans="1:3" ht="37.5" x14ac:dyDescent="0.25">
      <c r="A7" s="99" t="s">
        <v>8</v>
      </c>
      <c r="B7" s="12" t="s">
        <v>2681</v>
      </c>
      <c r="C7" s="1" t="s">
        <v>239</v>
      </c>
    </row>
    <row r="8" spans="1:3" ht="37.5" x14ac:dyDescent="0.25">
      <c r="A8" s="99" t="s">
        <v>10</v>
      </c>
      <c r="B8" s="12" t="s">
        <v>365</v>
      </c>
    </row>
    <row r="9" spans="1:3" ht="37.5" x14ac:dyDescent="0.25">
      <c r="A9" s="99" t="s">
        <v>11</v>
      </c>
      <c r="B9" s="12" t="s">
        <v>366</v>
      </c>
    </row>
    <row r="10" spans="1:3" ht="56.25" x14ac:dyDescent="0.25">
      <c r="A10" s="99" t="s">
        <v>12</v>
      </c>
      <c r="B10" s="12" t="s">
        <v>2682</v>
      </c>
    </row>
    <row r="11" spans="1:3" ht="18.75" x14ac:dyDescent="0.25">
      <c r="A11" s="468" t="s">
        <v>257</v>
      </c>
      <c r="B11" s="468"/>
      <c r="C11" s="1" t="s">
        <v>239</v>
      </c>
    </row>
    <row r="12" spans="1:3" ht="18.75" x14ac:dyDescent="0.25">
      <c r="A12" s="99" t="s">
        <v>30</v>
      </c>
      <c r="B12" s="12" t="s">
        <v>367</v>
      </c>
    </row>
    <row r="13" spans="1:3" ht="18.75" x14ac:dyDescent="0.25">
      <c r="A13" s="99" t="s">
        <v>31</v>
      </c>
      <c r="B13" s="12" t="s">
        <v>416</v>
      </c>
    </row>
    <row r="14" spans="1:3" ht="18.75" x14ac:dyDescent="0.25">
      <c r="A14" s="468" t="s">
        <v>258</v>
      </c>
      <c r="B14" s="468"/>
      <c r="C14" s="1" t="s">
        <v>239</v>
      </c>
    </row>
    <row r="15" spans="1:3" ht="18.75" x14ac:dyDescent="0.25">
      <c r="A15" s="99" t="s">
        <v>235</v>
      </c>
      <c r="B15" s="12" t="s">
        <v>369</v>
      </c>
      <c r="C15" s="1" t="s">
        <v>239</v>
      </c>
    </row>
    <row r="16" spans="1:3" ht="18.75" x14ac:dyDescent="0.25">
      <c r="A16" s="99" t="s">
        <v>39</v>
      </c>
      <c r="B16" s="12" t="s">
        <v>368</v>
      </c>
      <c r="C16" s="1" t="s">
        <v>239</v>
      </c>
    </row>
    <row r="17" spans="1:2" ht="18.75" x14ac:dyDescent="0.25">
      <c r="A17" s="99" t="s">
        <v>41</v>
      </c>
      <c r="B17" s="12" t="s">
        <v>2683</v>
      </c>
    </row>
    <row r="18" spans="1:2" ht="37.5" x14ac:dyDescent="0.25">
      <c r="A18" s="99" t="s">
        <v>236</v>
      </c>
      <c r="B18" s="12" t="s">
        <v>376</v>
      </c>
    </row>
    <row r="19" spans="1:2" ht="18.75" x14ac:dyDescent="0.3">
      <c r="A19" s="465" t="s">
        <v>406</v>
      </c>
      <c r="B19" s="465"/>
    </row>
    <row r="20" spans="1:2" ht="18.75" x14ac:dyDescent="0.3">
      <c r="A20" s="100" t="s">
        <v>164</v>
      </c>
      <c r="B20" s="20" t="s">
        <v>370</v>
      </c>
    </row>
    <row r="21" spans="1:2" ht="18.75" x14ac:dyDescent="0.3">
      <c r="A21" s="100" t="s">
        <v>283</v>
      </c>
      <c r="B21" s="20" t="s">
        <v>2684</v>
      </c>
    </row>
    <row r="22" spans="1:2" ht="18.75" x14ac:dyDescent="0.3">
      <c r="A22" s="100" t="s">
        <v>73</v>
      </c>
      <c r="B22" s="20" t="s">
        <v>37</v>
      </c>
    </row>
    <row r="23" spans="1:2" ht="18.75" x14ac:dyDescent="0.3">
      <c r="A23" s="465" t="s">
        <v>407</v>
      </c>
      <c r="B23" s="465"/>
    </row>
    <row r="24" spans="1:2" ht="37.5" x14ac:dyDescent="0.3">
      <c r="A24" s="99" t="s">
        <v>84</v>
      </c>
      <c r="B24" s="51" t="s">
        <v>371</v>
      </c>
    </row>
    <row r="25" spans="1:2" ht="35.450000000000003" customHeight="1" x14ac:dyDescent="0.3">
      <c r="A25" s="99" t="s">
        <v>259</v>
      </c>
      <c r="B25" s="51" t="s">
        <v>2685</v>
      </c>
    </row>
    <row r="26" spans="1:2" ht="18.75" x14ac:dyDescent="0.3">
      <c r="A26" s="99" t="s">
        <v>86</v>
      </c>
      <c r="B26" s="20" t="s">
        <v>408</v>
      </c>
    </row>
    <row r="27" spans="1:2" ht="9" customHeight="1" x14ac:dyDescent="0.25"/>
    <row r="28" spans="1:2" ht="15" customHeight="1" x14ac:dyDescent="0.25">
      <c r="A28" s="52" t="s">
        <v>388</v>
      </c>
      <c r="B28" s="61"/>
    </row>
    <row r="29" spans="1:2" ht="7.9" customHeight="1" x14ac:dyDescent="0.25">
      <c r="A29" s="4"/>
      <c r="B29" s="19"/>
    </row>
    <row r="30" spans="1:2" ht="33.6" customHeight="1" x14ac:dyDescent="0.25">
      <c r="A30" s="464" t="s">
        <v>239</v>
      </c>
      <c r="B30" s="464"/>
    </row>
  </sheetData>
  <sheetProtection selectLockedCells="1" selectUnlockedCells="1"/>
  <mergeCells count="7">
    <mergeCell ref="A30:B30"/>
    <mergeCell ref="A19:B19"/>
    <mergeCell ref="A23:B23"/>
    <mergeCell ref="A2:B2"/>
    <mergeCell ref="A4:B4"/>
    <mergeCell ref="A11:B11"/>
    <mergeCell ref="A14:B14"/>
  </mergeCells>
  <phoneticPr fontId="7" type="noConversion"/>
  <printOptions horizontalCentered="1"/>
  <pageMargins left="0.70866141732283472" right="0.19685039370078741" top="0.39370078740157483" bottom="0.19685039370078741" header="0" footer="0"/>
  <pageSetup firstPageNumber="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election activeCell="A8" sqref="A8"/>
    </sheetView>
  </sheetViews>
  <sheetFormatPr defaultRowHeight="12.75" x14ac:dyDescent="0.2"/>
  <cols>
    <col min="1" max="1" width="8.140625" customWidth="1"/>
    <col min="2" max="2" width="61" customWidth="1"/>
    <col min="3" max="3" width="12.140625" customWidth="1"/>
    <col min="4" max="4" width="12.28515625" customWidth="1"/>
    <col min="5" max="5" width="12.85546875" customWidth="1"/>
    <col min="6" max="6" width="11" customWidth="1"/>
    <col min="7" max="7" width="24.140625" customWidth="1"/>
    <col min="8" max="8" width="15.5703125" customWidth="1"/>
    <col min="9" max="9" width="13.28515625" customWidth="1"/>
    <col min="10" max="10" width="12.28515625" customWidth="1"/>
    <col min="11" max="11" width="12.42578125" customWidth="1"/>
  </cols>
  <sheetData>
    <row r="1" spans="1:11" ht="18" x14ac:dyDescent="0.25">
      <c r="A1" s="340"/>
      <c r="B1" s="341"/>
      <c r="C1" s="342"/>
      <c r="D1" s="342"/>
      <c r="E1" s="342"/>
      <c r="F1" s="343"/>
      <c r="G1" s="1"/>
      <c r="H1" s="1"/>
      <c r="I1" s="469" t="s">
        <v>3524</v>
      </c>
      <c r="J1" s="470"/>
      <c r="K1" s="470"/>
    </row>
    <row r="2" spans="1:11" ht="18" x14ac:dyDescent="0.25">
      <c r="A2" s="344"/>
      <c r="B2" s="345"/>
      <c r="C2" s="346"/>
      <c r="D2" s="346"/>
      <c r="E2" s="346"/>
      <c r="F2" s="347"/>
      <c r="G2" s="1"/>
      <c r="H2" s="1"/>
      <c r="I2" s="1" t="s">
        <v>3525</v>
      </c>
      <c r="J2" s="1"/>
      <c r="K2" s="1"/>
    </row>
    <row r="3" spans="1:11" ht="15" x14ac:dyDescent="0.25">
      <c r="A3" s="48"/>
      <c r="B3" s="387" t="s">
        <v>239</v>
      </c>
      <c r="C3" s="388"/>
      <c r="D3" s="388"/>
      <c r="E3" s="388"/>
      <c r="F3" s="388"/>
      <c r="G3" s="1"/>
      <c r="H3" s="1"/>
      <c r="I3" s="1"/>
      <c r="J3" s="1"/>
      <c r="K3" s="1"/>
    </row>
    <row r="4" spans="1:11" ht="23.25" x14ac:dyDescent="0.2">
      <c r="A4" s="389" t="s">
        <v>1220</v>
      </c>
      <c r="B4" s="389"/>
      <c r="C4" s="389"/>
      <c r="D4" s="389"/>
      <c r="E4" s="389"/>
      <c r="F4" s="389"/>
      <c r="G4" s="471"/>
      <c r="H4" s="471"/>
      <c r="I4" s="471"/>
      <c r="J4" s="471"/>
      <c r="K4" s="471"/>
    </row>
    <row r="5" spans="1:11" ht="21" x14ac:dyDescent="0.2">
      <c r="A5" s="390" t="s">
        <v>1221</v>
      </c>
      <c r="B5" s="390"/>
      <c r="C5" s="390"/>
      <c r="D5" s="390"/>
      <c r="E5" s="390"/>
      <c r="F5" s="390"/>
      <c r="G5" s="470"/>
      <c r="H5" s="470"/>
      <c r="I5" s="470"/>
      <c r="J5" s="470"/>
      <c r="K5" s="470"/>
    </row>
    <row r="6" spans="1:11" ht="21" x14ac:dyDescent="0.2">
      <c r="A6" s="390" t="s">
        <v>1222</v>
      </c>
      <c r="B6" s="390"/>
      <c r="C6" s="390"/>
      <c r="D6" s="390"/>
      <c r="E6" s="390"/>
      <c r="F6" s="390"/>
      <c r="G6" s="470"/>
      <c r="H6" s="470"/>
      <c r="I6" s="470"/>
      <c r="J6" s="470"/>
      <c r="K6" s="470"/>
    </row>
    <row r="7" spans="1:11" ht="33" customHeight="1" x14ac:dyDescent="0.35">
      <c r="A7" s="391" t="str">
        <f>'Лаборатория - ПТЗ, Шуйское, 26'!A7:G7</f>
        <v>изменения от 02.02.2022г № 32-П, от 25.02.22г № 55-П, от 04.03.22г  № 70-П, от 15.03.22г № 85-П, от 25.03.22г № 109-П, от 06.04.22г № 130-П, от 13.04.22г № 139-П, от 15.04.22г № 148-П, от 25.04.22г № 172-П, от 13.05.22г № 211-П, от 30.05.22г № 249-П, от 17.06.22г №289-П</v>
      </c>
      <c r="B7" s="391"/>
      <c r="C7" s="391"/>
      <c r="D7" s="391"/>
      <c r="E7" s="391"/>
      <c r="F7" s="391"/>
      <c r="G7" s="3"/>
      <c r="H7" s="3"/>
      <c r="I7" s="3"/>
      <c r="J7" s="3"/>
      <c r="K7" s="3"/>
    </row>
    <row r="8" spans="1:11" ht="21" x14ac:dyDescent="0.35">
      <c r="A8" s="112"/>
      <c r="B8" s="112"/>
      <c r="C8" s="113"/>
      <c r="D8" s="113"/>
      <c r="E8" s="113"/>
      <c r="F8" s="113">
        <v>1.2</v>
      </c>
      <c r="G8" s="114"/>
      <c r="H8" s="114"/>
      <c r="I8" s="114"/>
      <c r="J8" s="114"/>
      <c r="K8" s="114"/>
    </row>
    <row r="9" spans="1:11" ht="193.5" customHeight="1" x14ac:dyDescent="0.2">
      <c r="A9" s="348" t="s">
        <v>0</v>
      </c>
      <c r="B9" s="348" t="s">
        <v>1</v>
      </c>
      <c r="C9" s="348" t="s">
        <v>2</v>
      </c>
      <c r="D9" s="348" t="s">
        <v>3526</v>
      </c>
      <c r="E9" s="348" t="s">
        <v>3527</v>
      </c>
      <c r="F9" s="349" t="s">
        <v>3528</v>
      </c>
      <c r="G9" s="348" t="s">
        <v>3529</v>
      </c>
      <c r="H9" s="348" t="s">
        <v>3530</v>
      </c>
      <c r="I9" s="348" t="s">
        <v>3531</v>
      </c>
      <c r="J9" s="348" t="s">
        <v>3532</v>
      </c>
      <c r="K9" s="348" t="s">
        <v>3533</v>
      </c>
    </row>
    <row r="10" spans="1:11" ht="18.75" x14ac:dyDescent="0.2">
      <c r="A10" s="472" t="s">
        <v>1392</v>
      </c>
      <c r="B10" s="473"/>
      <c r="C10" s="473"/>
      <c r="D10" s="473"/>
      <c r="E10" s="473"/>
      <c r="F10" s="473"/>
      <c r="G10" s="470"/>
      <c r="H10" s="470"/>
      <c r="I10" s="470"/>
      <c r="J10" s="470"/>
      <c r="K10" s="474"/>
    </row>
    <row r="11" spans="1:11" ht="52.5" customHeight="1" x14ac:dyDescent="0.2">
      <c r="A11" s="350" t="s">
        <v>1231</v>
      </c>
      <c r="B11" s="351" t="s">
        <v>3534</v>
      </c>
      <c r="C11" s="352" t="s">
        <v>3535</v>
      </c>
      <c r="D11" s="352">
        <f t="shared" ref="D11:D16" si="0">F11-E11</f>
        <v>212.5</v>
      </c>
      <c r="E11" s="352">
        <f t="shared" ref="E11:E16" si="1">F11/1.2*0.2</f>
        <v>42.5</v>
      </c>
      <c r="F11" s="352">
        <v>255</v>
      </c>
      <c r="G11" s="352">
        <f>F11</f>
        <v>255</v>
      </c>
      <c r="H11" s="352">
        <f>F11</f>
        <v>255</v>
      </c>
      <c r="I11" s="352">
        <f t="shared" ref="I11:I16" si="2">F11</f>
        <v>255</v>
      </c>
      <c r="J11" s="352">
        <f t="shared" ref="J11:J16" si="3">F11</f>
        <v>255</v>
      </c>
      <c r="K11" s="352">
        <f t="shared" ref="K11:K16" si="4">F11</f>
        <v>255</v>
      </c>
    </row>
    <row r="12" spans="1:11" ht="64.5" customHeight="1" x14ac:dyDescent="0.2">
      <c r="A12" s="350" t="s">
        <v>1232</v>
      </c>
      <c r="B12" s="351" t="s">
        <v>3536</v>
      </c>
      <c r="C12" s="352" t="s">
        <v>3535</v>
      </c>
      <c r="D12" s="352">
        <f t="shared" si="0"/>
        <v>437.5</v>
      </c>
      <c r="E12" s="352">
        <f t="shared" si="1"/>
        <v>87.5</v>
      </c>
      <c r="F12" s="352">
        <v>525</v>
      </c>
      <c r="G12" s="352">
        <f>F12</f>
        <v>525</v>
      </c>
      <c r="H12" s="352">
        <f>F12</f>
        <v>525</v>
      </c>
      <c r="I12" s="352">
        <f t="shared" si="2"/>
        <v>525</v>
      </c>
      <c r="J12" s="352">
        <f t="shared" si="3"/>
        <v>525</v>
      </c>
      <c r="K12" s="352">
        <f t="shared" si="4"/>
        <v>525</v>
      </c>
    </row>
    <row r="13" spans="1:11" ht="60.75" customHeight="1" x14ac:dyDescent="0.2">
      <c r="A13" s="350" t="s">
        <v>1233</v>
      </c>
      <c r="B13" s="351" t="s">
        <v>3537</v>
      </c>
      <c r="C13" s="352" t="s">
        <v>3535</v>
      </c>
      <c r="D13" s="352">
        <f t="shared" si="0"/>
        <v>875</v>
      </c>
      <c r="E13" s="352">
        <f t="shared" si="1"/>
        <v>175</v>
      </c>
      <c r="F13" s="353">
        <v>1050</v>
      </c>
      <c r="G13" s="352">
        <f>F13</f>
        <v>1050</v>
      </c>
      <c r="H13" s="352">
        <f>F13</f>
        <v>1050</v>
      </c>
      <c r="I13" s="352">
        <f t="shared" si="2"/>
        <v>1050</v>
      </c>
      <c r="J13" s="352">
        <f t="shared" si="3"/>
        <v>1050</v>
      </c>
      <c r="K13" s="352">
        <f t="shared" si="4"/>
        <v>1050</v>
      </c>
    </row>
    <row r="14" spans="1:11" ht="64.5" customHeight="1" x14ac:dyDescent="0.2">
      <c r="A14" s="350" t="s">
        <v>1234</v>
      </c>
      <c r="B14" s="351" t="s">
        <v>3538</v>
      </c>
      <c r="C14" s="352" t="s">
        <v>3535</v>
      </c>
      <c r="D14" s="352">
        <f t="shared" si="0"/>
        <v>450</v>
      </c>
      <c r="E14" s="352">
        <f t="shared" si="1"/>
        <v>90</v>
      </c>
      <c r="F14" s="352">
        <v>540</v>
      </c>
      <c r="G14" s="354" t="s">
        <v>3539</v>
      </c>
      <c r="H14" s="354" t="s">
        <v>3540</v>
      </c>
      <c r="I14" s="352">
        <f t="shared" si="2"/>
        <v>540</v>
      </c>
      <c r="J14" s="352">
        <f t="shared" si="3"/>
        <v>540</v>
      </c>
      <c r="K14" s="352">
        <f t="shared" si="4"/>
        <v>540</v>
      </c>
    </row>
    <row r="15" spans="1:11" ht="78" customHeight="1" x14ac:dyDescent="0.2">
      <c r="A15" s="355" t="s">
        <v>1235</v>
      </c>
      <c r="B15" s="356" t="s">
        <v>3541</v>
      </c>
      <c r="C15" s="352" t="s">
        <v>3535</v>
      </c>
      <c r="D15" s="352">
        <f t="shared" si="0"/>
        <v>241.66666666666666</v>
      </c>
      <c r="E15" s="352">
        <f t="shared" si="1"/>
        <v>48.333333333333343</v>
      </c>
      <c r="F15" s="352">
        <v>290</v>
      </c>
      <c r="G15" s="354" t="s">
        <v>3539</v>
      </c>
      <c r="H15" s="354" t="s">
        <v>3540</v>
      </c>
      <c r="I15" s="352">
        <f t="shared" si="2"/>
        <v>290</v>
      </c>
      <c r="J15" s="352">
        <f t="shared" si="3"/>
        <v>290</v>
      </c>
      <c r="K15" s="352">
        <f t="shared" si="4"/>
        <v>290</v>
      </c>
    </row>
    <row r="16" spans="1:11" ht="88.5" customHeight="1" x14ac:dyDescent="0.2">
      <c r="A16" s="350" t="s">
        <v>1236</v>
      </c>
      <c r="B16" s="351" t="s">
        <v>3542</v>
      </c>
      <c r="C16" s="352" t="s">
        <v>3535</v>
      </c>
      <c r="D16" s="352">
        <f t="shared" si="0"/>
        <v>212.5</v>
      </c>
      <c r="E16" s="352">
        <f t="shared" si="1"/>
        <v>42.5</v>
      </c>
      <c r="F16" s="352">
        <v>255</v>
      </c>
      <c r="G16" s="354" t="s">
        <v>3539</v>
      </c>
      <c r="H16" s="354" t="s">
        <v>3540</v>
      </c>
      <c r="I16" s="352">
        <f t="shared" si="2"/>
        <v>255</v>
      </c>
      <c r="J16" s="352">
        <f t="shared" si="3"/>
        <v>255</v>
      </c>
      <c r="K16" s="352">
        <f t="shared" si="4"/>
        <v>255</v>
      </c>
    </row>
    <row r="17" spans="1:11" ht="77.25" customHeight="1" x14ac:dyDescent="0.25">
      <c r="A17" s="350" t="s">
        <v>1237</v>
      </c>
      <c r="B17" s="357" t="s">
        <v>485</v>
      </c>
      <c r="C17" s="352"/>
      <c r="D17" s="352"/>
      <c r="E17" s="352"/>
      <c r="F17" s="352"/>
      <c r="G17" s="358"/>
      <c r="H17" s="358"/>
      <c r="I17" s="358"/>
      <c r="J17" s="358"/>
      <c r="K17" s="358"/>
    </row>
    <row r="18" spans="1:11" ht="31.5" x14ac:dyDescent="0.2">
      <c r="A18" s="355" t="s">
        <v>96</v>
      </c>
      <c r="B18" s="351" t="s">
        <v>1695</v>
      </c>
      <c r="C18" s="352" t="s">
        <v>3535</v>
      </c>
      <c r="D18" s="352">
        <f t="shared" ref="D18:D24" si="5">F18-E18</f>
        <v>875</v>
      </c>
      <c r="E18" s="352">
        <f t="shared" ref="E18:E24" si="6">F18/1.2*0.2</f>
        <v>175</v>
      </c>
      <c r="F18" s="352">
        <v>1050</v>
      </c>
      <c r="G18" s="354" t="s">
        <v>3539</v>
      </c>
      <c r="H18" s="354" t="s">
        <v>3540</v>
      </c>
      <c r="I18" s="352">
        <f t="shared" ref="I18:I24" si="7">F18</f>
        <v>1050</v>
      </c>
      <c r="J18" s="352">
        <f t="shared" ref="J18:J24" si="8">F18</f>
        <v>1050</v>
      </c>
      <c r="K18" s="352">
        <f t="shared" ref="K18:K24" si="9">F18</f>
        <v>1050</v>
      </c>
    </row>
    <row r="19" spans="1:11" ht="15.75" x14ac:dyDescent="0.2">
      <c r="A19" s="355" t="s">
        <v>97</v>
      </c>
      <c r="B19" s="351" t="s">
        <v>1696</v>
      </c>
      <c r="C19" s="352" t="s">
        <v>3535</v>
      </c>
      <c r="D19" s="352">
        <f t="shared" si="5"/>
        <v>233.33333333333331</v>
      </c>
      <c r="E19" s="352">
        <f t="shared" si="6"/>
        <v>46.666666666666671</v>
      </c>
      <c r="F19" s="352">
        <v>280</v>
      </c>
      <c r="G19" s="354" t="s">
        <v>3539</v>
      </c>
      <c r="H19" s="354" t="s">
        <v>3540</v>
      </c>
      <c r="I19" s="352">
        <f t="shared" si="7"/>
        <v>280</v>
      </c>
      <c r="J19" s="352">
        <f t="shared" si="8"/>
        <v>280</v>
      </c>
      <c r="K19" s="352">
        <f t="shared" si="9"/>
        <v>280</v>
      </c>
    </row>
    <row r="20" spans="1:11" ht="15.75" x14ac:dyDescent="0.2">
      <c r="A20" s="355" t="s">
        <v>98</v>
      </c>
      <c r="B20" s="351" t="s">
        <v>1697</v>
      </c>
      <c r="C20" s="352" t="s">
        <v>3535</v>
      </c>
      <c r="D20" s="352">
        <f t="shared" si="5"/>
        <v>466.66666666666663</v>
      </c>
      <c r="E20" s="352">
        <f t="shared" si="6"/>
        <v>93.333333333333343</v>
      </c>
      <c r="F20" s="352">
        <v>560</v>
      </c>
      <c r="G20" s="354" t="s">
        <v>3539</v>
      </c>
      <c r="H20" s="354" t="s">
        <v>3540</v>
      </c>
      <c r="I20" s="352">
        <f t="shared" si="7"/>
        <v>560</v>
      </c>
      <c r="J20" s="352">
        <f t="shared" si="8"/>
        <v>560</v>
      </c>
      <c r="K20" s="352">
        <f t="shared" si="9"/>
        <v>560</v>
      </c>
    </row>
    <row r="21" spans="1:11" ht="31.5" x14ac:dyDescent="0.2">
      <c r="A21" s="355" t="s">
        <v>216</v>
      </c>
      <c r="B21" s="351" t="s">
        <v>1698</v>
      </c>
      <c r="C21" s="352" t="s">
        <v>3535</v>
      </c>
      <c r="D21" s="352">
        <f t="shared" si="5"/>
        <v>183.33333333333331</v>
      </c>
      <c r="E21" s="352">
        <f t="shared" si="6"/>
        <v>36.666666666666671</v>
      </c>
      <c r="F21" s="352">
        <v>220</v>
      </c>
      <c r="G21" s="354" t="s">
        <v>3539</v>
      </c>
      <c r="H21" s="354" t="s">
        <v>3540</v>
      </c>
      <c r="I21" s="352">
        <f t="shared" si="7"/>
        <v>220</v>
      </c>
      <c r="J21" s="352">
        <f t="shared" si="8"/>
        <v>220</v>
      </c>
      <c r="K21" s="352">
        <f t="shared" si="9"/>
        <v>220</v>
      </c>
    </row>
    <row r="22" spans="1:11" ht="31.5" x14ac:dyDescent="0.2">
      <c r="A22" s="355" t="s">
        <v>217</v>
      </c>
      <c r="B22" s="351" t="s">
        <v>1699</v>
      </c>
      <c r="C22" s="352" t="s">
        <v>3535</v>
      </c>
      <c r="D22" s="352">
        <f t="shared" si="5"/>
        <v>279.16666666666663</v>
      </c>
      <c r="E22" s="352">
        <f t="shared" si="6"/>
        <v>55.833333333333343</v>
      </c>
      <c r="F22" s="352">
        <v>335</v>
      </c>
      <c r="G22" s="354" t="s">
        <v>3539</v>
      </c>
      <c r="H22" s="354" t="s">
        <v>3540</v>
      </c>
      <c r="I22" s="352">
        <f t="shared" si="7"/>
        <v>335</v>
      </c>
      <c r="J22" s="352">
        <f t="shared" si="8"/>
        <v>335</v>
      </c>
      <c r="K22" s="352">
        <f t="shared" si="9"/>
        <v>335</v>
      </c>
    </row>
    <row r="23" spans="1:11" ht="63" x14ac:dyDescent="0.2">
      <c r="A23" s="350" t="s">
        <v>1238</v>
      </c>
      <c r="B23" s="351" t="s">
        <v>3543</v>
      </c>
      <c r="C23" s="352" t="s">
        <v>3535</v>
      </c>
      <c r="D23" s="352">
        <f t="shared" si="5"/>
        <v>270.83333333333331</v>
      </c>
      <c r="E23" s="352">
        <f t="shared" si="6"/>
        <v>54.166666666666679</v>
      </c>
      <c r="F23" s="352">
        <v>325</v>
      </c>
      <c r="G23" s="352">
        <f>F23</f>
        <v>325</v>
      </c>
      <c r="H23" s="352">
        <f>F23</f>
        <v>325</v>
      </c>
      <c r="I23" s="352">
        <f t="shared" si="7"/>
        <v>325</v>
      </c>
      <c r="J23" s="352">
        <f t="shared" si="8"/>
        <v>325</v>
      </c>
      <c r="K23" s="352">
        <f t="shared" si="9"/>
        <v>325</v>
      </c>
    </row>
    <row r="24" spans="1:11" ht="47.25" x14ac:dyDescent="0.2">
      <c r="A24" s="350" t="s">
        <v>1239</v>
      </c>
      <c r="B24" s="351" t="s">
        <v>3544</v>
      </c>
      <c r="C24" s="352" t="s">
        <v>3535</v>
      </c>
      <c r="D24" s="352">
        <f t="shared" si="5"/>
        <v>1750</v>
      </c>
      <c r="E24" s="352">
        <f t="shared" si="6"/>
        <v>350</v>
      </c>
      <c r="F24" s="353">
        <v>2100</v>
      </c>
      <c r="G24" s="475" t="s">
        <v>3545</v>
      </c>
      <c r="H24" s="476"/>
      <c r="I24" s="353">
        <f t="shared" si="7"/>
        <v>2100</v>
      </c>
      <c r="J24" s="353">
        <f t="shared" si="8"/>
        <v>2100</v>
      </c>
      <c r="K24" s="353">
        <f t="shared" si="9"/>
        <v>2100</v>
      </c>
    </row>
    <row r="25" spans="1:11" ht="63" x14ac:dyDescent="0.25">
      <c r="A25" s="350" t="s">
        <v>1240</v>
      </c>
      <c r="B25" s="357" t="s">
        <v>484</v>
      </c>
      <c r="C25" s="352"/>
      <c r="D25" s="352"/>
      <c r="E25" s="352"/>
      <c r="F25" s="352"/>
      <c r="G25" s="358"/>
      <c r="H25" s="358"/>
      <c r="I25" s="352"/>
      <c r="J25" s="352"/>
      <c r="K25" s="352"/>
    </row>
    <row r="26" spans="1:11" ht="15.75" x14ac:dyDescent="0.25">
      <c r="A26" s="355" t="s">
        <v>136</v>
      </c>
      <c r="B26" s="351" t="s">
        <v>478</v>
      </c>
      <c r="C26" s="352" t="s">
        <v>3535</v>
      </c>
      <c r="D26" s="352">
        <f>F26-E26</f>
        <v>875</v>
      </c>
      <c r="E26" s="352">
        <f>F26/1.2*0.2</f>
        <v>175</v>
      </c>
      <c r="F26" s="352">
        <v>1050</v>
      </c>
      <c r="G26" s="359" t="s">
        <v>3539</v>
      </c>
      <c r="H26" s="359" t="s">
        <v>3540</v>
      </c>
      <c r="I26" s="352">
        <f>F26</f>
        <v>1050</v>
      </c>
      <c r="J26" s="352">
        <f>F26</f>
        <v>1050</v>
      </c>
      <c r="K26" s="352">
        <f>F26</f>
        <v>1050</v>
      </c>
    </row>
    <row r="27" spans="1:11" ht="15.75" x14ac:dyDescent="0.25">
      <c r="A27" s="355" t="s">
        <v>138</v>
      </c>
      <c r="B27" s="351" t="s">
        <v>479</v>
      </c>
      <c r="C27" s="352" t="s">
        <v>3535</v>
      </c>
      <c r="D27" s="352">
        <f>F27-E27</f>
        <v>2616.6666666666665</v>
      </c>
      <c r="E27" s="352">
        <f>F27/1.2*0.2</f>
        <v>523.33333333333337</v>
      </c>
      <c r="F27" s="352">
        <v>3140</v>
      </c>
      <c r="G27" s="359" t="s">
        <v>3539</v>
      </c>
      <c r="H27" s="359" t="s">
        <v>3540</v>
      </c>
      <c r="I27" s="352">
        <f>F27</f>
        <v>3140</v>
      </c>
      <c r="J27" s="352">
        <f>F27</f>
        <v>3140</v>
      </c>
      <c r="K27" s="352">
        <f>F27</f>
        <v>3140</v>
      </c>
    </row>
    <row r="28" spans="1:11" ht="63" x14ac:dyDescent="0.25">
      <c r="A28" s="350" t="s">
        <v>1241</v>
      </c>
      <c r="B28" s="357" t="s">
        <v>3546</v>
      </c>
      <c r="C28" s="352" t="s">
        <v>3535</v>
      </c>
      <c r="D28" s="352"/>
      <c r="E28" s="352"/>
      <c r="F28" s="352"/>
      <c r="G28" s="358"/>
      <c r="H28" s="358"/>
      <c r="I28" s="352"/>
      <c r="J28" s="352"/>
      <c r="K28" s="352"/>
    </row>
    <row r="29" spans="1:11" ht="15.75" x14ac:dyDescent="0.2">
      <c r="A29" s="350" t="s">
        <v>159</v>
      </c>
      <c r="B29" s="351" t="s">
        <v>3547</v>
      </c>
      <c r="C29" s="352" t="s">
        <v>3535</v>
      </c>
      <c r="D29" s="352">
        <f>F29-E29</f>
        <v>12500</v>
      </c>
      <c r="E29" s="352">
        <f>F29/1.2*0.2</f>
        <v>2500</v>
      </c>
      <c r="F29" s="360">
        <v>15000</v>
      </c>
      <c r="G29" s="475" t="s">
        <v>3545</v>
      </c>
      <c r="H29" s="476"/>
      <c r="I29" s="352">
        <f>F29</f>
        <v>15000</v>
      </c>
      <c r="J29" s="352">
        <f>F29</f>
        <v>15000</v>
      </c>
      <c r="K29" s="352">
        <f>F29</f>
        <v>15000</v>
      </c>
    </row>
    <row r="30" spans="1:11" ht="31.5" x14ac:dyDescent="0.2">
      <c r="A30" s="355" t="s">
        <v>160</v>
      </c>
      <c r="B30" s="351" t="s">
        <v>3548</v>
      </c>
      <c r="C30" s="352" t="s">
        <v>3535</v>
      </c>
      <c r="D30" s="352">
        <f>F30-E30</f>
        <v>879.16666666666663</v>
      </c>
      <c r="E30" s="352">
        <f>F30/1.2*0.2</f>
        <v>175.83333333333337</v>
      </c>
      <c r="F30" s="352">
        <v>1055</v>
      </c>
      <c r="G30" s="475" t="s">
        <v>3545</v>
      </c>
      <c r="H30" s="476"/>
      <c r="I30" s="352">
        <f>F30</f>
        <v>1055</v>
      </c>
      <c r="J30" s="352">
        <f>F30</f>
        <v>1055</v>
      </c>
      <c r="K30" s="352">
        <f>F30</f>
        <v>1055</v>
      </c>
    </row>
    <row r="31" spans="1:11" ht="47.25" x14ac:dyDescent="0.2">
      <c r="A31" s="350" t="s">
        <v>1242</v>
      </c>
      <c r="B31" s="351" t="s">
        <v>3549</v>
      </c>
      <c r="C31" s="352" t="s">
        <v>3535</v>
      </c>
      <c r="D31" s="352">
        <f>F31-E31</f>
        <v>941.66666666666663</v>
      </c>
      <c r="E31" s="352">
        <f>F31/1.2*0.2</f>
        <v>188.33333333333337</v>
      </c>
      <c r="F31" s="352">
        <v>1130</v>
      </c>
      <c r="G31" s="354" t="s">
        <v>3539</v>
      </c>
      <c r="H31" s="354" t="s">
        <v>3540</v>
      </c>
      <c r="I31" s="352">
        <f>F31</f>
        <v>1130</v>
      </c>
      <c r="J31" s="352">
        <f>F31</f>
        <v>1130</v>
      </c>
      <c r="K31" s="352">
        <f>F31</f>
        <v>1130</v>
      </c>
    </row>
    <row r="32" spans="1:11" ht="47.25" x14ac:dyDescent="0.2">
      <c r="A32" s="350" t="s">
        <v>1243</v>
      </c>
      <c r="B32" s="351" t="s">
        <v>1670</v>
      </c>
      <c r="C32" s="352" t="s">
        <v>3535</v>
      </c>
      <c r="D32" s="352">
        <f>F32-E32</f>
        <v>941.66666666666663</v>
      </c>
      <c r="E32" s="352">
        <f>F32/1.2*0.2</f>
        <v>188.33333333333337</v>
      </c>
      <c r="F32" s="352">
        <v>1130</v>
      </c>
      <c r="G32" s="352">
        <f>F32</f>
        <v>1130</v>
      </c>
      <c r="H32" s="352">
        <f>F32</f>
        <v>1130</v>
      </c>
      <c r="I32" s="352">
        <f>F32</f>
        <v>1130</v>
      </c>
      <c r="J32" s="352">
        <f>F32</f>
        <v>1130</v>
      </c>
      <c r="K32" s="352">
        <f>F32</f>
        <v>1130</v>
      </c>
    </row>
    <row r="33" spans="1:11" ht="31.5" x14ac:dyDescent="0.25">
      <c r="A33" s="350" t="s">
        <v>1244</v>
      </c>
      <c r="B33" s="357" t="s">
        <v>3550</v>
      </c>
      <c r="C33" s="352"/>
      <c r="D33" s="352"/>
      <c r="E33" s="352"/>
      <c r="F33" s="352"/>
      <c r="G33" s="358"/>
      <c r="H33" s="358"/>
      <c r="I33" s="352"/>
      <c r="J33" s="352"/>
      <c r="K33" s="352"/>
    </row>
    <row r="34" spans="1:11" ht="15.75" x14ac:dyDescent="0.2">
      <c r="A34" s="350" t="s">
        <v>148</v>
      </c>
      <c r="B34" s="351" t="s">
        <v>1686</v>
      </c>
      <c r="C34" s="352" t="s">
        <v>3535</v>
      </c>
      <c r="D34" s="352">
        <f>F34-E34</f>
        <v>466.66666666666663</v>
      </c>
      <c r="E34" s="352">
        <f>F34/1.2*0.2</f>
        <v>93.333333333333343</v>
      </c>
      <c r="F34" s="352">
        <v>560</v>
      </c>
      <c r="G34" s="352">
        <f>F34</f>
        <v>560</v>
      </c>
      <c r="H34" s="352">
        <f>F34</f>
        <v>560</v>
      </c>
      <c r="I34" s="352">
        <f>F34</f>
        <v>560</v>
      </c>
      <c r="J34" s="352">
        <f>F34</f>
        <v>560</v>
      </c>
      <c r="K34" s="352">
        <f>F34</f>
        <v>560</v>
      </c>
    </row>
    <row r="35" spans="1:11" ht="31.5" x14ac:dyDescent="0.2">
      <c r="A35" s="350" t="s">
        <v>150</v>
      </c>
      <c r="B35" s="351" t="s">
        <v>1687</v>
      </c>
      <c r="C35" s="352" t="s">
        <v>3535</v>
      </c>
      <c r="D35" s="352">
        <f t="shared" ref="D35:D42" si="10">F35-E35</f>
        <v>750</v>
      </c>
      <c r="E35" s="352">
        <f t="shared" ref="E35:E53" si="11">F35/1.2*0.2</f>
        <v>150</v>
      </c>
      <c r="F35" s="352">
        <v>900</v>
      </c>
      <c r="G35" s="352">
        <f t="shared" ref="G35:G41" si="12">F35</f>
        <v>900</v>
      </c>
      <c r="H35" s="352">
        <f t="shared" ref="H35:H41" si="13">F35</f>
        <v>900</v>
      </c>
      <c r="I35" s="352">
        <f t="shared" ref="I35:I41" si="14">F35</f>
        <v>900</v>
      </c>
      <c r="J35" s="352">
        <f t="shared" ref="J35:J41" si="15">F35</f>
        <v>900</v>
      </c>
      <c r="K35" s="352">
        <f t="shared" ref="K35:K41" si="16">F35</f>
        <v>900</v>
      </c>
    </row>
    <row r="36" spans="1:11" ht="31.5" x14ac:dyDescent="0.2">
      <c r="A36" s="350" t="s">
        <v>234</v>
      </c>
      <c r="B36" s="351" t="s">
        <v>1688</v>
      </c>
      <c r="C36" s="352" t="s">
        <v>3535</v>
      </c>
      <c r="D36" s="352">
        <f t="shared" si="10"/>
        <v>466.66666666666663</v>
      </c>
      <c r="E36" s="352">
        <f t="shared" si="11"/>
        <v>93.333333333333343</v>
      </c>
      <c r="F36" s="352">
        <v>560</v>
      </c>
      <c r="G36" s="352">
        <f t="shared" si="12"/>
        <v>560</v>
      </c>
      <c r="H36" s="352">
        <f t="shared" si="13"/>
        <v>560</v>
      </c>
      <c r="I36" s="352">
        <f t="shared" si="14"/>
        <v>560</v>
      </c>
      <c r="J36" s="352">
        <f t="shared" si="15"/>
        <v>560</v>
      </c>
      <c r="K36" s="352">
        <f t="shared" si="16"/>
        <v>560</v>
      </c>
    </row>
    <row r="37" spans="1:11" ht="31.5" x14ac:dyDescent="0.2">
      <c r="A37" s="350" t="s">
        <v>299</v>
      </c>
      <c r="B37" s="351" t="s">
        <v>1689</v>
      </c>
      <c r="C37" s="352" t="s">
        <v>3535</v>
      </c>
      <c r="D37" s="352">
        <f t="shared" si="10"/>
        <v>466.66666666666663</v>
      </c>
      <c r="E37" s="352">
        <f t="shared" si="11"/>
        <v>93.333333333333343</v>
      </c>
      <c r="F37" s="352">
        <v>560</v>
      </c>
      <c r="G37" s="352">
        <f t="shared" si="12"/>
        <v>560</v>
      </c>
      <c r="H37" s="352">
        <f t="shared" si="13"/>
        <v>560</v>
      </c>
      <c r="I37" s="352">
        <f t="shared" si="14"/>
        <v>560</v>
      </c>
      <c r="J37" s="352">
        <f t="shared" si="15"/>
        <v>560</v>
      </c>
      <c r="K37" s="352">
        <f t="shared" si="16"/>
        <v>560</v>
      </c>
    </row>
    <row r="38" spans="1:11" ht="15.75" x14ac:dyDescent="0.2">
      <c r="A38" s="350" t="s">
        <v>300</v>
      </c>
      <c r="B38" s="351" t="s">
        <v>1685</v>
      </c>
      <c r="C38" s="352" t="s">
        <v>3535</v>
      </c>
      <c r="D38" s="352">
        <f t="shared" si="10"/>
        <v>291.66666666666663</v>
      </c>
      <c r="E38" s="352">
        <f t="shared" si="11"/>
        <v>58.333333333333343</v>
      </c>
      <c r="F38" s="352">
        <v>350</v>
      </c>
      <c r="G38" s="352">
        <f t="shared" si="12"/>
        <v>350</v>
      </c>
      <c r="H38" s="352">
        <f t="shared" si="13"/>
        <v>350</v>
      </c>
      <c r="I38" s="352">
        <f t="shared" si="14"/>
        <v>350</v>
      </c>
      <c r="J38" s="352">
        <f t="shared" si="15"/>
        <v>350</v>
      </c>
      <c r="K38" s="352">
        <f t="shared" si="16"/>
        <v>350</v>
      </c>
    </row>
    <row r="39" spans="1:11" ht="47.25" x14ac:dyDescent="0.2">
      <c r="A39" s="350" t="s">
        <v>301</v>
      </c>
      <c r="B39" s="351" t="s">
        <v>1690</v>
      </c>
      <c r="C39" s="361" t="s">
        <v>1691</v>
      </c>
      <c r="D39" s="352">
        <f t="shared" si="10"/>
        <v>50</v>
      </c>
      <c r="E39" s="352">
        <f t="shared" si="11"/>
        <v>10</v>
      </c>
      <c r="F39" s="352">
        <v>60</v>
      </c>
      <c r="G39" s="352">
        <f t="shared" si="12"/>
        <v>60</v>
      </c>
      <c r="H39" s="352">
        <f t="shared" si="13"/>
        <v>60</v>
      </c>
      <c r="I39" s="352">
        <f t="shared" si="14"/>
        <v>60</v>
      </c>
      <c r="J39" s="352">
        <f t="shared" si="15"/>
        <v>60</v>
      </c>
      <c r="K39" s="352">
        <f t="shared" si="16"/>
        <v>60</v>
      </c>
    </row>
    <row r="40" spans="1:11" ht="47.25" x14ac:dyDescent="0.2">
      <c r="A40" s="350" t="s">
        <v>302</v>
      </c>
      <c r="B40" s="351" t="s">
        <v>3551</v>
      </c>
      <c r="C40" s="352" t="s">
        <v>3535</v>
      </c>
      <c r="D40" s="352">
        <f t="shared" si="10"/>
        <v>933.33333333333326</v>
      </c>
      <c r="E40" s="352">
        <f t="shared" si="11"/>
        <v>186.66666666666669</v>
      </c>
      <c r="F40" s="352">
        <v>1120</v>
      </c>
      <c r="G40" s="352">
        <f t="shared" si="12"/>
        <v>1120</v>
      </c>
      <c r="H40" s="352">
        <f t="shared" si="13"/>
        <v>1120</v>
      </c>
      <c r="I40" s="352">
        <f t="shared" si="14"/>
        <v>1120</v>
      </c>
      <c r="J40" s="352">
        <f t="shared" si="15"/>
        <v>1120</v>
      </c>
      <c r="K40" s="352">
        <f t="shared" si="16"/>
        <v>1120</v>
      </c>
    </row>
    <row r="41" spans="1:11" ht="47.25" x14ac:dyDescent="0.2">
      <c r="A41" s="350" t="s">
        <v>424</v>
      </c>
      <c r="B41" s="351" t="s">
        <v>3552</v>
      </c>
      <c r="C41" s="352" t="s">
        <v>3535</v>
      </c>
      <c r="D41" s="352">
        <f t="shared" si="10"/>
        <v>2808.333333333333</v>
      </c>
      <c r="E41" s="352">
        <f t="shared" si="11"/>
        <v>561.66666666666674</v>
      </c>
      <c r="F41" s="352">
        <v>3370</v>
      </c>
      <c r="G41" s="352">
        <f t="shared" si="12"/>
        <v>3370</v>
      </c>
      <c r="H41" s="352">
        <f t="shared" si="13"/>
        <v>3370</v>
      </c>
      <c r="I41" s="352">
        <f t="shared" si="14"/>
        <v>3370</v>
      </c>
      <c r="J41" s="352">
        <f t="shared" si="15"/>
        <v>3370</v>
      </c>
      <c r="K41" s="352">
        <f t="shared" si="16"/>
        <v>3370</v>
      </c>
    </row>
    <row r="42" spans="1:11" ht="15.75" x14ac:dyDescent="0.25">
      <c r="A42" s="355" t="s">
        <v>425</v>
      </c>
      <c r="B42" s="351" t="s">
        <v>480</v>
      </c>
      <c r="C42" s="352" t="s">
        <v>3535</v>
      </c>
      <c r="D42" s="352">
        <f t="shared" si="10"/>
        <v>437.5</v>
      </c>
      <c r="E42" s="352">
        <f t="shared" si="11"/>
        <v>87.5</v>
      </c>
      <c r="F42" s="352">
        <v>525</v>
      </c>
      <c r="G42" s="359" t="s">
        <v>3539</v>
      </c>
      <c r="H42" s="359" t="s">
        <v>3540</v>
      </c>
      <c r="I42" s="352">
        <f>F42</f>
        <v>525</v>
      </c>
      <c r="J42" s="352">
        <f>F42</f>
        <v>525</v>
      </c>
      <c r="K42" s="352">
        <f>F42</f>
        <v>525</v>
      </c>
    </row>
    <row r="43" spans="1:11" ht="31.5" x14ac:dyDescent="0.25">
      <c r="A43" s="350" t="s">
        <v>1245</v>
      </c>
      <c r="B43" s="357" t="s">
        <v>3553</v>
      </c>
      <c r="C43" s="352"/>
      <c r="D43" s="352"/>
      <c r="E43" s="352"/>
      <c r="F43" s="352"/>
      <c r="G43" s="358"/>
      <c r="H43" s="358"/>
      <c r="I43" s="358"/>
      <c r="J43" s="358"/>
      <c r="K43" s="358"/>
    </row>
    <row r="44" spans="1:11" ht="15.75" x14ac:dyDescent="0.2">
      <c r="A44" s="355" t="s">
        <v>277</v>
      </c>
      <c r="B44" s="351" t="s">
        <v>481</v>
      </c>
      <c r="C44" s="352" t="s">
        <v>3535</v>
      </c>
      <c r="D44" s="352">
        <f t="shared" ref="D44:D53" si="17">F44-E44</f>
        <v>1875</v>
      </c>
      <c r="E44" s="352">
        <f t="shared" si="11"/>
        <v>375</v>
      </c>
      <c r="F44" s="353">
        <v>2250</v>
      </c>
      <c r="G44" s="352">
        <f t="shared" ref="G44:G49" si="18">F44</f>
        <v>2250</v>
      </c>
      <c r="H44" s="352">
        <f t="shared" ref="H44:H49" si="19">F44</f>
        <v>2250</v>
      </c>
      <c r="I44" s="352">
        <f t="shared" ref="I44:I49" si="20">F44</f>
        <v>2250</v>
      </c>
      <c r="J44" s="352">
        <f t="shared" ref="J44:J49" si="21">F44</f>
        <v>2250</v>
      </c>
      <c r="K44" s="352">
        <f t="shared" ref="K44:K49" si="22">F44</f>
        <v>2250</v>
      </c>
    </row>
    <row r="45" spans="1:11" ht="15.75" x14ac:dyDescent="0.2">
      <c r="A45" s="355" t="s">
        <v>278</v>
      </c>
      <c r="B45" s="351" t="s">
        <v>1682</v>
      </c>
      <c r="C45" s="352" t="s">
        <v>3535</v>
      </c>
      <c r="D45" s="352">
        <f t="shared" si="17"/>
        <v>4683.333333333333</v>
      </c>
      <c r="E45" s="352">
        <f t="shared" si="11"/>
        <v>936.66666666666686</v>
      </c>
      <c r="F45" s="353">
        <v>5620</v>
      </c>
      <c r="G45" s="352">
        <f t="shared" si="18"/>
        <v>5620</v>
      </c>
      <c r="H45" s="352">
        <f t="shared" si="19"/>
        <v>5620</v>
      </c>
      <c r="I45" s="352">
        <f t="shared" si="20"/>
        <v>5620</v>
      </c>
      <c r="J45" s="352">
        <f t="shared" si="21"/>
        <v>5620</v>
      </c>
      <c r="K45" s="352">
        <f t="shared" si="22"/>
        <v>5620</v>
      </c>
    </row>
    <row r="46" spans="1:11" ht="15.75" x14ac:dyDescent="0.2">
      <c r="A46" s="355" t="s">
        <v>279</v>
      </c>
      <c r="B46" s="351" t="s">
        <v>1683</v>
      </c>
      <c r="C46" s="352" t="s">
        <v>3535</v>
      </c>
      <c r="D46" s="352">
        <f t="shared" si="17"/>
        <v>5616.6666666666661</v>
      </c>
      <c r="E46" s="352">
        <f t="shared" si="11"/>
        <v>1123.3333333333335</v>
      </c>
      <c r="F46" s="353">
        <v>6740</v>
      </c>
      <c r="G46" s="352">
        <f t="shared" si="18"/>
        <v>6740</v>
      </c>
      <c r="H46" s="352">
        <f t="shared" si="19"/>
        <v>6740</v>
      </c>
      <c r="I46" s="352">
        <f t="shared" si="20"/>
        <v>6740</v>
      </c>
      <c r="J46" s="352">
        <f t="shared" si="21"/>
        <v>6740</v>
      </c>
      <c r="K46" s="352">
        <f t="shared" si="22"/>
        <v>6740</v>
      </c>
    </row>
    <row r="47" spans="1:11" ht="15.75" x14ac:dyDescent="0.2">
      <c r="A47" s="355" t="s">
        <v>355</v>
      </c>
      <c r="B47" s="351" t="s">
        <v>482</v>
      </c>
      <c r="C47" s="352" t="s">
        <v>3535</v>
      </c>
      <c r="D47" s="352">
        <f t="shared" si="17"/>
        <v>1404.1666666666665</v>
      </c>
      <c r="E47" s="352">
        <f t="shared" si="11"/>
        <v>280.83333333333337</v>
      </c>
      <c r="F47" s="353">
        <v>1685</v>
      </c>
      <c r="G47" s="352">
        <f t="shared" si="18"/>
        <v>1685</v>
      </c>
      <c r="H47" s="352">
        <f t="shared" si="19"/>
        <v>1685</v>
      </c>
      <c r="I47" s="352">
        <f t="shared" si="20"/>
        <v>1685</v>
      </c>
      <c r="J47" s="352">
        <f t="shared" si="21"/>
        <v>1685</v>
      </c>
      <c r="K47" s="352">
        <f t="shared" si="22"/>
        <v>1685</v>
      </c>
    </row>
    <row r="48" spans="1:11" ht="15.75" x14ac:dyDescent="0.2">
      <c r="A48" s="355" t="s">
        <v>356</v>
      </c>
      <c r="B48" s="351" t="s">
        <v>483</v>
      </c>
      <c r="C48" s="352" t="s">
        <v>3535</v>
      </c>
      <c r="D48" s="352">
        <f t="shared" si="17"/>
        <v>3750</v>
      </c>
      <c r="E48" s="352">
        <f t="shared" si="11"/>
        <v>750</v>
      </c>
      <c r="F48" s="353">
        <v>4500</v>
      </c>
      <c r="G48" s="352">
        <f t="shared" si="18"/>
        <v>4500</v>
      </c>
      <c r="H48" s="352">
        <f t="shared" si="19"/>
        <v>4500</v>
      </c>
      <c r="I48" s="352">
        <f t="shared" si="20"/>
        <v>4500</v>
      </c>
      <c r="J48" s="352">
        <f t="shared" si="21"/>
        <v>4500</v>
      </c>
      <c r="K48" s="352">
        <f t="shared" si="22"/>
        <v>4500</v>
      </c>
    </row>
    <row r="49" spans="1:11" ht="31.5" x14ac:dyDescent="0.2">
      <c r="A49" s="355" t="s">
        <v>357</v>
      </c>
      <c r="B49" s="351" t="s">
        <v>1684</v>
      </c>
      <c r="C49" s="352" t="s">
        <v>3535</v>
      </c>
      <c r="D49" s="352">
        <f t="shared" si="17"/>
        <v>279.16666666666663</v>
      </c>
      <c r="E49" s="352">
        <f t="shared" si="11"/>
        <v>55.833333333333343</v>
      </c>
      <c r="F49" s="353">
        <v>335</v>
      </c>
      <c r="G49" s="352">
        <f t="shared" si="18"/>
        <v>335</v>
      </c>
      <c r="H49" s="352">
        <f t="shared" si="19"/>
        <v>335</v>
      </c>
      <c r="I49" s="352">
        <f t="shared" si="20"/>
        <v>335</v>
      </c>
      <c r="J49" s="352">
        <f t="shared" si="21"/>
        <v>335</v>
      </c>
      <c r="K49" s="352">
        <f t="shared" si="22"/>
        <v>335</v>
      </c>
    </row>
    <row r="50" spans="1:11" ht="31.5" x14ac:dyDescent="0.2">
      <c r="A50" s="355" t="s">
        <v>358</v>
      </c>
      <c r="B50" s="351" t="s">
        <v>3554</v>
      </c>
      <c r="C50" s="352" t="s">
        <v>3535</v>
      </c>
      <c r="D50" s="352">
        <f t="shared" si="17"/>
        <v>291.66666666666663</v>
      </c>
      <c r="E50" s="352">
        <f t="shared" si="11"/>
        <v>58.333333333333343</v>
      </c>
      <c r="F50" s="352">
        <v>350</v>
      </c>
      <c r="G50" s="354" t="s">
        <v>3540</v>
      </c>
      <c r="H50" s="354" t="s">
        <v>3540</v>
      </c>
      <c r="I50" s="352">
        <f t="shared" ref="I50" si="23">F50</f>
        <v>350</v>
      </c>
      <c r="J50" s="352">
        <f t="shared" ref="J50" si="24">F50</f>
        <v>350</v>
      </c>
      <c r="K50" s="352">
        <f t="shared" ref="K50" si="25">F50</f>
        <v>350</v>
      </c>
    </row>
    <row r="51" spans="1:11" ht="31.5" x14ac:dyDescent="0.2">
      <c r="A51" s="355" t="s">
        <v>1246</v>
      </c>
      <c r="B51" s="356" t="s">
        <v>3555</v>
      </c>
      <c r="C51" s="352" t="s">
        <v>3535</v>
      </c>
      <c r="D51" s="352">
        <f t="shared" si="17"/>
        <v>270.83333333333331</v>
      </c>
      <c r="E51" s="352">
        <f t="shared" si="11"/>
        <v>54.166666666666679</v>
      </c>
      <c r="F51" s="352">
        <v>325</v>
      </c>
      <c r="G51" s="352">
        <f t="shared" ref="G51:G52" si="26">F51</f>
        <v>325</v>
      </c>
      <c r="H51" s="352">
        <f t="shared" ref="H51:H52" si="27">F51</f>
        <v>325</v>
      </c>
      <c r="I51" s="477" t="s">
        <v>3556</v>
      </c>
      <c r="J51" s="478"/>
      <c r="K51" s="479"/>
    </row>
    <row r="52" spans="1:11" ht="15.75" x14ac:dyDescent="0.2">
      <c r="A52" s="350" t="s">
        <v>1247</v>
      </c>
      <c r="B52" s="351" t="s">
        <v>476</v>
      </c>
      <c r="C52" s="352" t="s">
        <v>3557</v>
      </c>
      <c r="D52" s="352">
        <f t="shared" si="17"/>
        <v>25</v>
      </c>
      <c r="E52" s="352">
        <f t="shared" si="11"/>
        <v>5</v>
      </c>
      <c r="F52" s="352">
        <v>30</v>
      </c>
      <c r="G52" s="352">
        <f t="shared" si="26"/>
        <v>30</v>
      </c>
      <c r="H52" s="352">
        <f t="shared" si="27"/>
        <v>30</v>
      </c>
      <c r="I52" s="352">
        <f t="shared" ref="I52" si="28">F52</f>
        <v>30</v>
      </c>
      <c r="J52" s="352">
        <f t="shared" ref="J52" si="29">F52</f>
        <v>30</v>
      </c>
      <c r="K52" s="352">
        <f t="shared" ref="K52" si="30">F52</f>
        <v>30</v>
      </c>
    </row>
    <row r="53" spans="1:11" ht="15.75" x14ac:dyDescent="0.2">
      <c r="A53" s="355" t="s">
        <v>1248</v>
      </c>
      <c r="B53" s="356" t="s">
        <v>477</v>
      </c>
      <c r="C53" s="352" t="s">
        <v>3557</v>
      </c>
      <c r="D53" s="352">
        <f t="shared" si="17"/>
        <v>25</v>
      </c>
      <c r="E53" s="352">
        <f t="shared" si="11"/>
        <v>5</v>
      </c>
      <c r="F53" s="352">
        <v>30</v>
      </c>
      <c r="G53" s="352">
        <v>30</v>
      </c>
      <c r="H53" s="352">
        <v>30</v>
      </c>
      <c r="I53" s="352">
        <v>30</v>
      </c>
      <c r="J53" s="352">
        <v>30</v>
      </c>
      <c r="K53" s="352">
        <v>30</v>
      </c>
    </row>
  </sheetData>
  <mergeCells count="11">
    <mergeCell ref="A10:K10"/>
    <mergeCell ref="G24:H24"/>
    <mergeCell ref="G29:H29"/>
    <mergeCell ref="G30:H30"/>
    <mergeCell ref="I51:K51"/>
    <mergeCell ref="A7:F7"/>
    <mergeCell ref="I1:K1"/>
    <mergeCell ref="B3:F3"/>
    <mergeCell ref="A4:K4"/>
    <mergeCell ref="A5:K5"/>
    <mergeCell ref="A6: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10</vt:i4>
      </vt:variant>
    </vt:vector>
  </HeadingPairs>
  <TitlesOfParts>
    <vt:vector size="17" baseType="lpstr">
      <vt:lpstr>Лаборатория - ПТЗ, Шуйское, 26</vt:lpstr>
      <vt:lpstr>Вет.станции</vt:lpstr>
      <vt:lpstr>Лист1</vt:lpstr>
      <vt:lpstr>Лаб.иследования-explana</vt:lpstr>
      <vt:lpstr>Лаб.иследования-Vet Union</vt:lpstr>
      <vt:lpstr>беспл. исследования</vt:lpstr>
      <vt:lpstr>ЦК</vt:lpstr>
      <vt:lpstr>Вет.станции!Заголовки_для_печати</vt:lpstr>
      <vt:lpstr>'Лаб.иследования-explana'!Заголовки_для_печати</vt:lpstr>
      <vt:lpstr>'Лаб.иследования-Vet Union'!Заголовки_для_печати</vt:lpstr>
      <vt:lpstr>'Лаборатория - ПТЗ, Шуйское, 26'!Заголовки_для_печати</vt:lpstr>
      <vt:lpstr>'беспл. исследования'!Область_печати</vt:lpstr>
      <vt:lpstr>Вет.станции!Область_печати</vt:lpstr>
      <vt:lpstr>'Лаб.иследования-explana'!Область_печати</vt:lpstr>
      <vt:lpstr>'Лаб.иследования-Vet Union'!Область_печати</vt:lpstr>
      <vt:lpstr>'Лаборатория - ПТЗ, Шуйское, 26'!Область_печати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Плужник А.В.</cp:lastModifiedBy>
  <cp:lastPrinted>2022-04-15T13:19:40Z</cp:lastPrinted>
  <dcterms:created xsi:type="dcterms:W3CDTF">2012-05-23T07:29:42Z</dcterms:created>
  <dcterms:modified xsi:type="dcterms:W3CDTF">2022-06-20T12:23:57Z</dcterms:modified>
</cp:coreProperties>
</file>