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570" yWindow="60" windowWidth="16020" windowHeight="12810" tabRatio="844" firstSheet="59" activeTab="81"/>
  </bookViews>
  <sheets>
    <sheet name="учет расходов 2020" sheetId="102" state="hidden" r:id="rId1"/>
    <sheet name="Свод расчетный" sheetId="53" state="hidden" r:id="rId2"/>
    <sheet name="Лист4" sheetId="50" state="hidden" r:id="rId3"/>
    <sheet name="ОХЗ (поГЗ)" sheetId="31" r:id="rId4"/>
    <sheet name="ОХЗ (ЦК)" sheetId="107" r:id="rId5"/>
    <sheet name="ОХЗ (поГЗ) к №12и13" sheetId="47" r:id="rId6"/>
    <sheet name="МЗ РЦВК" sheetId="105" state="hidden" r:id="rId7"/>
    <sheet name="ФОТ 2020" sheetId="103" state="hidden" r:id="rId8"/>
    <sheet name="ШР 01.08.19" sheetId="106" state="hidden" r:id="rId9"/>
    <sheet name="№1" sheetId="56" r:id="rId10"/>
    <sheet name="Свод по №1" sheetId="57" r:id="rId11"/>
    <sheet name="№2" sheetId="13" r:id="rId12"/>
    <sheet name="Свод по №2" sheetId="41" r:id="rId13"/>
    <sheet name="№3" sheetId="60" r:id="rId14"/>
    <sheet name="Свод по №3" sheetId="61" r:id="rId15"/>
    <sheet name="№4" sheetId="14" r:id="rId16"/>
    <sheet name="Свод по №4" sheetId="42" r:id="rId17"/>
    <sheet name="№5" sheetId="64" r:id="rId18"/>
    <sheet name="Свод по №5" sheetId="65" r:id="rId19"/>
    <sheet name="№6" sheetId="66" r:id="rId20"/>
    <sheet name="Свод по №6" sheetId="67" r:id="rId21"/>
    <sheet name="№7" sheetId="68" r:id="rId22"/>
    <sheet name="Свод по №7" sheetId="69" r:id="rId23"/>
    <sheet name="№8" sheetId="18" r:id="rId24"/>
    <sheet name="Свод по №8" sheetId="46" r:id="rId25"/>
    <sheet name="№9" sheetId="1" r:id="rId26"/>
    <sheet name="Свод по №9" sheetId="32" r:id="rId27"/>
    <sheet name="№10" sheetId="4" r:id="rId28"/>
    <sheet name="Свод по №10" sheetId="33" r:id="rId29"/>
    <sheet name="№11" sheetId="5" r:id="rId30"/>
    <sheet name="Свод по №11" sheetId="34" r:id="rId31"/>
    <sheet name="№12" sheetId="7" r:id="rId32"/>
    <sheet name="Свод по №12" sheetId="35" r:id="rId33"/>
    <sheet name="№13" sheetId="8" r:id="rId34"/>
    <sheet name="Свод по №13" sheetId="36" r:id="rId35"/>
    <sheet name="№14" sheetId="9" r:id="rId36"/>
    <sheet name="Свод по №14" sheetId="37" r:id="rId37"/>
    <sheet name="№15" sheetId="10" r:id="rId38"/>
    <sheet name="Свод по №15" sheetId="38" r:id="rId39"/>
    <sheet name="№16" sheetId="11" r:id="rId40"/>
    <sheet name="Свод по №16" sheetId="39" r:id="rId41"/>
    <sheet name="№17" sheetId="12" r:id="rId42"/>
    <sheet name="Свод по №17" sheetId="40" r:id="rId43"/>
    <sheet name="№18" sheetId="15" r:id="rId44"/>
    <sheet name="Свод по №18" sheetId="43" r:id="rId45"/>
    <sheet name="№19" sheetId="16" r:id="rId46"/>
    <sheet name="Свод по №19" sheetId="44" r:id="rId47"/>
    <sheet name="№20" sheetId="17" r:id="rId48"/>
    <sheet name="Свод по №20" sheetId="45" r:id="rId49"/>
    <sheet name="№21" sheetId="82" r:id="rId50"/>
    <sheet name="Свод по №21" sheetId="83" r:id="rId51"/>
    <sheet name="№22" sheetId="84" r:id="rId52"/>
    <sheet name="Свод по №22" sheetId="85" r:id="rId53"/>
    <sheet name="№23" sheetId="86" r:id="rId54"/>
    <sheet name="Свод по №23" sheetId="87" r:id="rId55"/>
    <sheet name="№24" sheetId="88" r:id="rId56"/>
    <sheet name="Свод по №24" sheetId="89" r:id="rId57"/>
    <sheet name="№25" sheetId="90" r:id="rId58"/>
    <sheet name="Свод по №25" sheetId="91" r:id="rId59"/>
    <sheet name="№26" sheetId="94" r:id="rId60"/>
    <sheet name="Свод по №26" sheetId="95" r:id="rId61"/>
    <sheet name="№27" sheetId="96" r:id="rId62"/>
    <sheet name="Свод по №27" sheetId="97" r:id="rId63"/>
    <sheet name="№28" sheetId="98" r:id="rId64"/>
    <sheet name="Свод по №28" sheetId="99" r:id="rId65"/>
    <sheet name="№29" sheetId="110" state="hidden" r:id="rId66"/>
    <sheet name="Свод по №29" sheetId="111" r:id="rId67"/>
    <sheet name="№29 раб." sheetId="120" r:id="rId68"/>
    <sheet name="№29 раб. (2)" sheetId="121" state="hidden" r:id="rId69"/>
    <sheet name="№30" sheetId="112" state="hidden" r:id="rId70"/>
    <sheet name="Свод по №30" sheetId="113" r:id="rId71"/>
    <sheet name="№30 раб." sheetId="122" r:id="rId72"/>
    <sheet name="№31" sheetId="114" state="hidden" r:id="rId73"/>
    <sheet name="Свод по №31" sheetId="115" r:id="rId74"/>
    <sheet name="№31 раб." sheetId="123" r:id="rId75"/>
    <sheet name="№32" sheetId="116" state="hidden" r:id="rId76"/>
    <sheet name="Свод по №32" sheetId="117" r:id="rId77"/>
    <sheet name="ФВ РЦВК" sheetId="76" state="hidden" r:id="rId78"/>
    <sheet name="фонд времени (ЦК)" sheetId="81" state="hidden" r:id="rId79"/>
    <sheet name="№32 раб." sheetId="124" r:id="rId80"/>
    <sheet name="Свод РЦВК 2020" sheetId="77" r:id="rId81"/>
    <sheet name="НЗ 20 (РЦВК)" sheetId="79" r:id="rId82"/>
    <sheet name="Налог на им-во" sheetId="104" state="hidden" r:id="rId83"/>
  </sheets>
  <definedNames>
    <definedName name="_xlnm._FilterDatabase" localSheetId="82" hidden="1">'Налог на им-во'!$A$11:$T$101</definedName>
    <definedName name="_xlnm._FilterDatabase" localSheetId="8" hidden="1">'ШР 01.08.19'!$A$18:$AC$202</definedName>
    <definedName name="_xlnm.Print_Titles" localSheetId="9">№1!$8:$8</definedName>
    <definedName name="_xlnm.Print_Titles" localSheetId="2">Лист4!$3:$4</definedName>
    <definedName name="_xlnm.Print_Titles" localSheetId="6">'МЗ РЦВК'!$B:$B,'МЗ РЦВК'!$1:$87</definedName>
    <definedName name="_xlnm.Print_Titles" localSheetId="81">'НЗ 20 (РЦВК)'!$2:$3</definedName>
    <definedName name="_xlnm.Print_Titles" localSheetId="3">'ОХЗ (поГЗ)'!$3:$3</definedName>
    <definedName name="_xlnm.Print_Titles" localSheetId="5">'ОХЗ (поГЗ) к №12и13'!$3:$3</definedName>
    <definedName name="_xlnm.Print_Titles" localSheetId="4">'ОХЗ (ЦК)'!$3:$3</definedName>
    <definedName name="_xlnm.Print_Titles" localSheetId="1">'Свод расчетный'!$3:$4</definedName>
    <definedName name="_xlnm.Print_Titles" localSheetId="80">'Свод РЦВК 2020'!$A:$D,'Свод РЦВК 2020'!$2:$3</definedName>
    <definedName name="_xlnm.Print_Titles" localSheetId="0">'учет расходов 2020'!$1:$3</definedName>
    <definedName name="_xlnm.Print_Titles" localSheetId="78">'фонд времени (ЦК)'!$3:$5</definedName>
    <definedName name="иные" localSheetId="68">#REF!</definedName>
    <definedName name="иные" localSheetId="71">#REF!</definedName>
    <definedName name="иные" localSheetId="74">#REF!</definedName>
    <definedName name="иные" localSheetId="79">#REF!</definedName>
    <definedName name="иные" localSheetId="6">#REF!</definedName>
    <definedName name="иные" localSheetId="81">#REF!</definedName>
    <definedName name="иные" localSheetId="4">#REF!</definedName>
    <definedName name="иные" localSheetId="80">#REF!</definedName>
    <definedName name="иные" localSheetId="0">#REF!</definedName>
    <definedName name="иные" localSheetId="77">#REF!</definedName>
    <definedName name="иные" localSheetId="78">#REF!</definedName>
    <definedName name="иные" localSheetId="8">#REF!</definedName>
    <definedName name="иные">#REF!</definedName>
    <definedName name="материальные_запасы_основные_средства" localSheetId="68">#REF!</definedName>
    <definedName name="материальные_запасы_основные_средства" localSheetId="71">#REF!</definedName>
    <definedName name="материальные_запасы_основные_средства" localSheetId="74">#REF!</definedName>
    <definedName name="материальные_запасы_основные_средства" localSheetId="79">#REF!</definedName>
    <definedName name="материальные_запасы_основные_средства" localSheetId="6">#REF!</definedName>
    <definedName name="материальные_запасы_основные_средства" localSheetId="81">#REF!</definedName>
    <definedName name="материальные_запасы_основные_средства" localSheetId="4">#REF!</definedName>
    <definedName name="материальные_запасы_основные_средства" localSheetId="80">#REF!</definedName>
    <definedName name="материальные_запасы_основные_средства" localSheetId="0">#REF!</definedName>
    <definedName name="материальные_запасы_основные_средства" localSheetId="77">#REF!</definedName>
    <definedName name="материальные_запасы_основные_средства" localSheetId="78">#REF!</definedName>
    <definedName name="материальные_запасы_основные_средства" localSheetId="8">#REF!</definedName>
    <definedName name="материальные_запасы_основные_средства">#REF!</definedName>
    <definedName name="_xlnm.Print_Area" localSheetId="9">№1!$A$1:$I$39</definedName>
    <definedName name="_xlnm.Print_Area" localSheetId="27">№10!$A$1:$I$26</definedName>
    <definedName name="_xlnm.Print_Area" localSheetId="29">№11!$A$1:$I$27</definedName>
    <definedName name="_xlnm.Print_Area" localSheetId="31">№12!$A$1:$I$30</definedName>
    <definedName name="_xlnm.Print_Area" localSheetId="33">№13!$A$1:$I$30</definedName>
    <definedName name="_xlnm.Print_Area" localSheetId="43">№18!$A$1:$I$25</definedName>
    <definedName name="_xlnm.Print_Area" localSheetId="11">№2!$A$1:$I$26</definedName>
    <definedName name="_xlnm.Print_Area" localSheetId="67">'№29 раб.'!$A$1:$K$24</definedName>
    <definedName name="_xlnm.Print_Area" localSheetId="68">'№29 раб. (2)'!$A$1:$K$23</definedName>
    <definedName name="_xlnm.Print_Area" localSheetId="71">'№30 раб.'!$A$1:$K$23</definedName>
    <definedName name="_xlnm.Print_Area" localSheetId="74">'№31 раб.'!$A$1:$K$23</definedName>
    <definedName name="_xlnm.Print_Area" localSheetId="79">'№32 раб.'!$A$1:$K$46</definedName>
    <definedName name="_xlnm.Print_Area" localSheetId="15">№4!$A$1:$I$29</definedName>
    <definedName name="_xlnm.Print_Area" localSheetId="17">№5!$A$1:$I$38</definedName>
    <definedName name="_xlnm.Print_Area" localSheetId="21">№7!$A$1:$I$29</definedName>
    <definedName name="_xlnm.Print_Area" localSheetId="23">№8!$A$1:$I$28</definedName>
    <definedName name="_xlnm.Print_Area" localSheetId="25">№9!$A$1:$I$27</definedName>
    <definedName name="_xlnm.Print_Area" localSheetId="2">Лист4!$A$1:$H$88</definedName>
    <definedName name="_xlnm.Print_Area" localSheetId="81">'НЗ 20 (РЦВК)'!$A$1:$G$47</definedName>
    <definedName name="_xlnm.Print_Area" localSheetId="3">'ОХЗ (поГЗ)'!$A$1:$I$70</definedName>
    <definedName name="_xlnm.Print_Area" localSheetId="5">'ОХЗ (поГЗ) к №12и13'!$A$1:$I$79</definedName>
    <definedName name="_xlnm.Print_Area" localSheetId="4">'ОХЗ (ЦК)'!$A$1:$I$84</definedName>
    <definedName name="_xlnm.Print_Area" localSheetId="10">'Свод по №1'!$A$1:$L$6</definedName>
    <definedName name="_xlnm.Print_Area" localSheetId="14">'Свод по №3'!$A$1:$L$6</definedName>
    <definedName name="_xlnm.Print_Area" localSheetId="18">'Свод по №5'!$A$1:$L$6</definedName>
    <definedName name="_xlnm.Print_Area" localSheetId="20">'Свод по №6'!$A$1:$L$6</definedName>
    <definedName name="_xlnm.Print_Area" localSheetId="22">'Свод по №7'!$A$1:$L$6</definedName>
    <definedName name="_xlnm.Print_Area" localSheetId="1">'Свод расчетный'!$A$49:$D$86</definedName>
    <definedName name="_xlnm.Print_Area" localSheetId="80">'Свод РЦВК 2020'!$A$1:$N$50</definedName>
    <definedName name="_xlnm.Print_Area" localSheetId="0">'учет расходов 2020'!$A$1:$K$187</definedName>
    <definedName name="_xlnm.Print_Area" localSheetId="77">'ФВ РЦВК'!$A$1:$P$28</definedName>
    <definedName name="_xlnm.Print_Area" localSheetId="78">'фонд времени (ЦК)'!$A$1:$N$18</definedName>
    <definedName name="оплата_труда" localSheetId="68">#REF!</definedName>
    <definedName name="оплата_труда" localSheetId="71">#REF!</definedName>
    <definedName name="оплата_труда" localSheetId="74">#REF!</definedName>
    <definedName name="оплата_труда" localSheetId="79">#REF!</definedName>
    <definedName name="оплата_труда" localSheetId="6">#REF!</definedName>
    <definedName name="оплата_труда" localSheetId="81">#REF!</definedName>
    <definedName name="оплата_труда" localSheetId="4">#REF!</definedName>
    <definedName name="оплата_труда" localSheetId="80">#REF!</definedName>
    <definedName name="оплата_труда" localSheetId="0">#REF!</definedName>
    <definedName name="оплата_труда" localSheetId="77">#REF!</definedName>
    <definedName name="оплата_труда" localSheetId="78">#REF!</definedName>
    <definedName name="оплата_труда" localSheetId="8">#REF!</definedName>
    <definedName name="оплата_труда">#REF!</definedName>
    <definedName name="Список" localSheetId="68">#REF!</definedName>
    <definedName name="Список" localSheetId="71">#REF!</definedName>
    <definedName name="Список" localSheetId="74">#REF!</definedName>
    <definedName name="Список" localSheetId="79">#REF!</definedName>
    <definedName name="Список" localSheetId="6">#REF!</definedName>
    <definedName name="Список" localSheetId="81">#REF!</definedName>
    <definedName name="Список" localSheetId="4">#REF!</definedName>
    <definedName name="Список" localSheetId="80">#REF!</definedName>
    <definedName name="Список" localSheetId="0">#REF!</definedName>
    <definedName name="Список" localSheetId="77">#REF!</definedName>
    <definedName name="Список" localSheetId="78">#REF!</definedName>
    <definedName name="Список" localSheetId="8">#REF!</definedName>
    <definedName name="Список">#REF!</definedName>
  </definedNames>
  <calcPr calcId="145621"/>
</workbook>
</file>

<file path=xl/calcChain.xml><?xml version="1.0" encoding="utf-8"?>
<calcChain xmlns="http://schemas.openxmlformats.org/spreadsheetml/2006/main">
  <c r="T6" i="77" l="1"/>
  <c r="T7" i="77"/>
  <c r="T8" i="77"/>
  <c r="T9" i="77"/>
  <c r="T10" i="77"/>
  <c r="T11" i="77"/>
  <c r="T12" i="77"/>
  <c r="T13" i="77"/>
  <c r="T14" i="77"/>
  <c r="T15" i="77"/>
  <c r="T16" i="77"/>
  <c r="T17" i="77"/>
  <c r="T18" i="77"/>
  <c r="T19" i="77"/>
  <c r="T20" i="77"/>
  <c r="T21" i="77"/>
  <c r="T22" i="77"/>
  <c r="T23" i="77"/>
  <c r="T24" i="77"/>
  <c r="T25" i="77"/>
  <c r="T26" i="77"/>
  <c r="T27" i="77"/>
  <c r="T28" i="77"/>
  <c r="T29" i="77"/>
  <c r="T30" i="77"/>
  <c r="T31" i="77"/>
  <c r="T32" i="77"/>
  <c r="T5" i="77"/>
  <c r="H34" i="77" l="1"/>
  <c r="H35" i="77"/>
  <c r="H36" i="77"/>
  <c r="H37" i="77"/>
  <c r="H41" i="77"/>
  <c r="H4" i="50"/>
  <c r="H50" i="50"/>
  <c r="H50" i="107"/>
  <c r="H64" i="50"/>
  <c r="H64" i="107"/>
  <c r="H65" i="50"/>
  <c r="H65" i="107"/>
  <c r="I4" i="50"/>
  <c r="H80" i="50"/>
  <c r="H79" i="107"/>
  <c r="H81" i="50"/>
  <c r="H80" i="107"/>
  <c r="H82" i="50"/>
  <c r="H81" i="107"/>
  <c r="H83" i="50"/>
  <c r="H82" i="107"/>
  <c r="H83" i="107"/>
  <c r="K6" i="85"/>
  <c r="G4" i="50"/>
  <c r="G10" i="50"/>
  <c r="H10" i="107"/>
  <c r="H11" i="107"/>
  <c r="E6" i="85"/>
  <c r="L6" i="85"/>
  <c r="J26" i="77"/>
  <c r="K6" i="83"/>
  <c r="E6" i="83"/>
  <c r="L6" i="83"/>
  <c r="J25" i="77"/>
  <c r="E80" i="50"/>
  <c r="G68" i="50"/>
  <c r="G58" i="50"/>
  <c r="G51" i="50"/>
  <c r="G45" i="50"/>
  <c r="G46" i="50"/>
  <c r="G43" i="50"/>
  <c r="G44" i="50"/>
  <c r="G33" i="50"/>
  <c r="G34" i="50"/>
  <c r="G35" i="50"/>
  <c r="G36" i="50"/>
  <c r="G32" i="50"/>
  <c r="G22" i="50"/>
  <c r="G23" i="50"/>
  <c r="G24" i="50"/>
  <c r="G25" i="50"/>
  <c r="G26" i="50"/>
  <c r="G27" i="50"/>
  <c r="G28" i="50"/>
  <c r="G29" i="50"/>
  <c r="G18" i="50"/>
  <c r="H40" i="124"/>
  <c r="I7" i="120"/>
  <c r="I21" i="120"/>
  <c r="J21" i="120"/>
  <c r="G21" i="120"/>
  <c r="H20" i="120"/>
  <c r="H23" i="120"/>
  <c r="H45" i="124"/>
  <c r="H26" i="120"/>
  <c r="I27" i="120"/>
  <c r="I7" i="124"/>
  <c r="I40" i="124"/>
  <c r="J40" i="124"/>
  <c r="I13" i="124"/>
  <c r="J13" i="124"/>
  <c r="I14" i="124"/>
  <c r="J14" i="124"/>
  <c r="I15" i="124"/>
  <c r="J15" i="124"/>
  <c r="I16" i="124"/>
  <c r="J16" i="124"/>
  <c r="I17" i="124"/>
  <c r="J17" i="124"/>
  <c r="I18" i="124"/>
  <c r="J18" i="124"/>
  <c r="I19" i="124"/>
  <c r="J19" i="124"/>
  <c r="I20" i="124"/>
  <c r="J20" i="124"/>
  <c r="I21" i="124"/>
  <c r="J21" i="124"/>
  <c r="I22" i="124"/>
  <c r="J22" i="124"/>
  <c r="I23" i="124"/>
  <c r="J23" i="124"/>
  <c r="I24" i="124"/>
  <c r="J24" i="124"/>
  <c r="I25" i="124"/>
  <c r="J25" i="124"/>
  <c r="I26" i="124"/>
  <c r="J26" i="124"/>
  <c r="I27" i="124"/>
  <c r="J27" i="124"/>
  <c r="I28" i="124"/>
  <c r="J28" i="124"/>
  <c r="I29" i="124"/>
  <c r="J29" i="124"/>
  <c r="I30" i="124"/>
  <c r="J30" i="124"/>
  <c r="I31" i="124"/>
  <c r="J31" i="124"/>
  <c r="I32" i="124"/>
  <c r="J32" i="124"/>
  <c r="I33" i="124"/>
  <c r="J33" i="124"/>
  <c r="I34" i="124"/>
  <c r="J34" i="124"/>
  <c r="I35" i="124"/>
  <c r="J35" i="124"/>
  <c r="I36" i="124"/>
  <c r="J36" i="124"/>
  <c r="I37" i="124"/>
  <c r="J37" i="124"/>
  <c r="I38" i="124"/>
  <c r="J38" i="124"/>
  <c r="I39" i="124"/>
  <c r="J39" i="124"/>
  <c r="I41" i="124"/>
  <c r="J41" i="124"/>
  <c r="I42" i="124"/>
  <c r="J42" i="124"/>
  <c r="I43" i="124"/>
  <c r="J43" i="124"/>
  <c r="I44" i="124"/>
  <c r="J44" i="124"/>
  <c r="J45" i="124"/>
  <c r="J7" i="124"/>
  <c r="I8" i="124"/>
  <c r="J8" i="124"/>
  <c r="J9" i="124"/>
  <c r="J46" i="124"/>
  <c r="J37" i="77"/>
  <c r="I7" i="123"/>
  <c r="I13" i="123"/>
  <c r="J13" i="123"/>
  <c r="I14" i="123"/>
  <c r="J14" i="123"/>
  <c r="I15" i="123"/>
  <c r="J15" i="123"/>
  <c r="I16" i="123"/>
  <c r="J16" i="123"/>
  <c r="I17" i="123"/>
  <c r="J17" i="123"/>
  <c r="I18" i="123"/>
  <c r="J18" i="123"/>
  <c r="I19" i="123"/>
  <c r="J19" i="123"/>
  <c r="I20" i="123"/>
  <c r="J20" i="123"/>
  <c r="I21" i="123"/>
  <c r="J21" i="123"/>
  <c r="J22" i="123"/>
  <c r="J7" i="123"/>
  <c r="I8" i="123"/>
  <c r="J8" i="123"/>
  <c r="J9" i="123"/>
  <c r="J23" i="123"/>
  <c r="J36" i="77"/>
  <c r="I7" i="122"/>
  <c r="I13" i="122"/>
  <c r="J13" i="122"/>
  <c r="I14" i="122"/>
  <c r="J14" i="122"/>
  <c r="I15" i="122"/>
  <c r="J15" i="122"/>
  <c r="I16" i="122"/>
  <c r="J16" i="122"/>
  <c r="I17" i="122"/>
  <c r="J17" i="122"/>
  <c r="I18" i="122"/>
  <c r="J18" i="122"/>
  <c r="I19" i="122"/>
  <c r="J19" i="122"/>
  <c r="I20" i="122"/>
  <c r="J20" i="122"/>
  <c r="I21" i="122"/>
  <c r="J21" i="122"/>
  <c r="J7" i="122"/>
  <c r="I8" i="122"/>
  <c r="J8" i="122"/>
  <c r="J9" i="122"/>
  <c r="I16" i="120"/>
  <c r="J16" i="120"/>
  <c r="I20" i="120"/>
  <c r="J20" i="120"/>
  <c r="I18" i="120"/>
  <c r="J18" i="120"/>
  <c r="I13" i="120"/>
  <c r="J13" i="120"/>
  <c r="I14" i="120"/>
  <c r="J14" i="120"/>
  <c r="I15" i="120"/>
  <c r="J15" i="120"/>
  <c r="I17" i="120"/>
  <c r="J17" i="120"/>
  <c r="I19" i="120"/>
  <c r="J19" i="120"/>
  <c r="I22" i="120"/>
  <c r="J22" i="120"/>
  <c r="J23" i="120"/>
  <c r="D7" i="120"/>
  <c r="H7" i="120"/>
  <c r="J7" i="120"/>
  <c r="I8" i="120"/>
  <c r="E8" i="120"/>
  <c r="F8" i="120"/>
  <c r="G8" i="120"/>
  <c r="D8" i="120"/>
  <c r="H8" i="120"/>
  <c r="J8" i="120"/>
  <c r="J9" i="120"/>
  <c r="J24" i="120"/>
  <c r="J34" i="77"/>
  <c r="H18" i="124"/>
  <c r="H19" i="124"/>
  <c r="G13" i="124"/>
  <c r="I22" i="123"/>
  <c r="C7" i="124"/>
  <c r="G8" i="124"/>
  <c r="F8" i="124"/>
  <c r="E8" i="124"/>
  <c r="D7" i="124"/>
  <c r="H7" i="124"/>
  <c r="H22" i="123"/>
  <c r="G8" i="123"/>
  <c r="F8" i="123"/>
  <c r="E8" i="123"/>
  <c r="D7" i="123"/>
  <c r="H7" i="123"/>
  <c r="L9" i="122"/>
  <c r="G8" i="122"/>
  <c r="F8" i="122"/>
  <c r="E8" i="122"/>
  <c r="I22" i="122"/>
  <c r="D7" i="122"/>
  <c r="H8" i="121"/>
  <c r="C7" i="121"/>
  <c r="E21" i="121"/>
  <c r="G21" i="121"/>
  <c r="L19" i="121"/>
  <c r="M19" i="121"/>
  <c r="E19" i="121"/>
  <c r="H18" i="121"/>
  <c r="G18" i="121"/>
  <c r="L18" i="121"/>
  <c r="M18" i="121"/>
  <c r="G16" i="121"/>
  <c r="E16" i="121"/>
  <c r="L16" i="121"/>
  <c r="M16" i="121"/>
  <c r="G15" i="121"/>
  <c r="L15" i="121"/>
  <c r="M15" i="121"/>
  <c r="L14" i="121"/>
  <c r="M14" i="121"/>
  <c r="G14" i="121"/>
  <c r="L13" i="121"/>
  <c r="M13" i="121"/>
  <c r="G8" i="121"/>
  <c r="F8" i="121"/>
  <c r="E8" i="121"/>
  <c r="D8" i="121"/>
  <c r="I7" i="121"/>
  <c r="I22" i="121"/>
  <c r="D7" i="121"/>
  <c r="H7" i="121"/>
  <c r="E22" i="120"/>
  <c r="G22" i="120"/>
  <c r="G20" i="120"/>
  <c r="G17" i="120"/>
  <c r="I45" i="124"/>
  <c r="I46" i="124"/>
  <c r="D8" i="124"/>
  <c r="H8" i="124"/>
  <c r="H9" i="124"/>
  <c r="H46" i="124"/>
  <c r="I9" i="124"/>
  <c r="D8" i="123"/>
  <c r="H8" i="123"/>
  <c r="H9" i="123"/>
  <c r="L9" i="123"/>
  <c r="I23" i="123"/>
  <c r="I9" i="123"/>
  <c r="D8" i="122"/>
  <c r="H8" i="122"/>
  <c r="H7" i="122"/>
  <c r="H9" i="122"/>
  <c r="I9" i="122"/>
  <c r="H22" i="122"/>
  <c r="H23" i="122" s="1"/>
  <c r="I23" i="122"/>
  <c r="H9" i="121"/>
  <c r="J7" i="121"/>
  <c r="I9" i="121"/>
  <c r="I14" i="121"/>
  <c r="J14" i="121"/>
  <c r="I19" i="121"/>
  <c r="J19" i="121"/>
  <c r="I20" i="121"/>
  <c r="J20" i="121"/>
  <c r="I21" i="121"/>
  <c r="J21" i="121"/>
  <c r="L21" i="121"/>
  <c r="M21" i="121"/>
  <c r="H22" i="121"/>
  <c r="H23" i="121"/>
  <c r="I23" i="121"/>
  <c r="I8" i="121"/>
  <c r="J8" i="121"/>
  <c r="I13" i="121"/>
  <c r="J13" i="121"/>
  <c r="I15" i="121"/>
  <c r="J15" i="121"/>
  <c r="I16" i="121"/>
  <c r="J16" i="121"/>
  <c r="I17" i="121"/>
  <c r="J17" i="121"/>
  <c r="I18" i="121"/>
  <c r="J18" i="121"/>
  <c r="L15" i="120"/>
  <c r="M15" i="120"/>
  <c r="L14" i="120"/>
  <c r="M14" i="120"/>
  <c r="L20" i="120"/>
  <c r="M20" i="120"/>
  <c r="L16" i="120"/>
  <c r="M16" i="120"/>
  <c r="L22" i="120"/>
  <c r="M22" i="120"/>
  <c r="E17" i="120"/>
  <c r="L17" i="120"/>
  <c r="M17" i="120"/>
  <c r="L13" i="120"/>
  <c r="M13" i="120"/>
  <c r="I9" i="120"/>
  <c r="I23" i="120"/>
  <c r="L9" i="124"/>
  <c r="H23" i="123"/>
  <c r="J22" i="121"/>
  <c r="J9" i="121"/>
  <c r="I24" i="120"/>
  <c r="H9" i="120"/>
  <c r="H24" i="120"/>
  <c r="P39" i="77"/>
  <c r="P40" i="77"/>
  <c r="J23" i="121"/>
  <c r="P38" i="77"/>
  <c r="H9" i="81"/>
  <c r="J8" i="81"/>
  <c r="J7" i="98"/>
  <c r="E83" i="50"/>
  <c r="I8" i="81"/>
  <c r="I7" i="81"/>
  <c r="J9" i="81"/>
  <c r="H8" i="81"/>
  <c r="H7" i="81"/>
  <c r="N17" i="81"/>
  <c r="H11" i="84"/>
  <c r="G6" i="98"/>
  <c r="F6" i="98"/>
  <c r="A80" i="107"/>
  <c r="B80" i="107"/>
  <c r="A81" i="107"/>
  <c r="B81" i="107"/>
  <c r="A82" i="107"/>
  <c r="B82" i="107"/>
  <c r="B79" i="107"/>
  <c r="A79" i="107"/>
  <c r="J41" i="107"/>
  <c r="J20" i="107"/>
  <c r="J11" i="107"/>
  <c r="B67" i="31"/>
  <c r="B74" i="47"/>
  <c r="A67" i="31"/>
  <c r="A74" i="47"/>
  <c r="D58" i="53"/>
  <c r="I40" i="77"/>
  <c r="F4" i="50"/>
  <c r="H17" i="94"/>
  <c r="H17" i="86"/>
  <c r="H14" i="82"/>
  <c r="H15" i="82"/>
  <c r="H11" i="82"/>
  <c r="H27" i="14"/>
  <c r="H24" i="13"/>
  <c r="O37" i="77"/>
  <c r="O36" i="77"/>
  <c r="O35" i="77"/>
  <c r="O34" i="77"/>
  <c r="T39" i="77"/>
  <c r="J34" i="110"/>
  <c r="G6" i="110"/>
  <c r="G6" i="112"/>
  <c r="J53" i="116"/>
  <c r="J31" i="110"/>
  <c r="L7" i="116"/>
  <c r="K7" i="116"/>
  <c r="J8" i="116"/>
  <c r="K8" i="110"/>
  <c r="J7" i="110"/>
  <c r="J34" i="116"/>
  <c r="F81" i="50"/>
  <c r="F83" i="50"/>
  <c r="F80" i="50"/>
  <c r="F82" i="50"/>
  <c r="F84" i="50"/>
  <c r="C94" i="53"/>
  <c r="A77" i="50"/>
  <c r="B77" i="50"/>
  <c r="C82" i="53"/>
  <c r="C77" i="50"/>
  <c r="D77" i="50"/>
  <c r="F77" i="50"/>
  <c r="G31" i="103"/>
  <c r="G30" i="103"/>
  <c r="C44" i="53"/>
  <c r="C47" i="53"/>
  <c r="E42" i="53"/>
  <c r="G42" i="53"/>
  <c r="C43" i="53"/>
  <c r="G17" i="53"/>
  <c r="C40" i="50"/>
  <c r="D70" i="53"/>
  <c r="C93" i="53"/>
  <c r="D80" i="53"/>
  <c r="C95" i="53"/>
  <c r="D69" i="53"/>
  <c r="D10" i="53"/>
  <c r="G16" i="102"/>
  <c r="G14" i="102"/>
  <c r="E14" i="102"/>
  <c r="G147" i="102"/>
  <c r="G43" i="102"/>
  <c r="G42" i="102"/>
  <c r="G41" i="102"/>
  <c r="G32" i="102"/>
  <c r="H22" i="102"/>
  <c r="I22" i="102"/>
  <c r="G176" i="102"/>
  <c r="D83" i="53"/>
  <c r="J177" i="102"/>
  <c r="K177" i="102"/>
  <c r="K176" i="102"/>
  <c r="J176" i="102"/>
  <c r="K5" i="102"/>
  <c r="J5" i="102"/>
  <c r="J6" i="102"/>
  <c r="O2" i="102"/>
  <c r="G21" i="102"/>
  <c r="G174" i="102"/>
  <c r="K174" i="102"/>
  <c r="D78" i="53"/>
  <c r="J140" i="102"/>
  <c r="G140" i="102"/>
  <c r="J27" i="110"/>
  <c r="K122" i="102"/>
  <c r="G121" i="102"/>
  <c r="K121" i="102"/>
  <c r="E121" i="102"/>
  <c r="G119" i="102"/>
  <c r="E119" i="102"/>
  <c r="K119" i="102"/>
  <c r="J117" i="102"/>
  <c r="K87" i="102"/>
  <c r="K88" i="102"/>
  <c r="K90" i="102"/>
  <c r="G44" i="102"/>
  <c r="J40" i="102"/>
  <c r="J29" i="116"/>
  <c r="K32" i="102"/>
  <c r="J35" i="102"/>
  <c r="G30" i="102"/>
  <c r="J30" i="102"/>
  <c r="J33" i="102"/>
  <c r="K33" i="102"/>
  <c r="K35" i="102"/>
  <c r="J31" i="102"/>
  <c r="K25" i="102"/>
  <c r="K26" i="102"/>
  <c r="K27" i="102"/>
  <c r="K28" i="102"/>
  <c r="K29" i="102"/>
  <c r="K24" i="102"/>
  <c r="F44" i="102"/>
  <c r="C9" i="53"/>
  <c r="G40" i="102"/>
  <c r="K23" i="102"/>
  <c r="E20" i="82"/>
  <c r="I6" i="82"/>
  <c r="H53" i="107"/>
  <c r="H54" i="107"/>
  <c r="H57" i="107"/>
  <c r="H59" i="107"/>
  <c r="H60" i="107"/>
  <c r="H61" i="107"/>
  <c r="H62" i="107"/>
  <c r="H63" i="107"/>
  <c r="H66" i="107"/>
  <c r="H67" i="107"/>
  <c r="H69" i="107"/>
  <c r="H70" i="107"/>
  <c r="H71" i="107"/>
  <c r="H72" i="107"/>
  <c r="H73" i="107"/>
  <c r="H74" i="107"/>
  <c r="H75" i="107"/>
  <c r="H76" i="107"/>
  <c r="H78" i="107"/>
  <c r="H49" i="107"/>
  <c r="B78" i="107"/>
  <c r="A78" i="107"/>
  <c r="B77" i="107"/>
  <c r="A77" i="107"/>
  <c r="B76" i="107"/>
  <c r="A76" i="107"/>
  <c r="B75" i="107"/>
  <c r="A75" i="107"/>
  <c r="B74" i="107"/>
  <c r="A74" i="107"/>
  <c r="B73" i="107"/>
  <c r="A73" i="107"/>
  <c r="B72" i="107"/>
  <c r="A72" i="107"/>
  <c r="B71" i="107"/>
  <c r="A71" i="107"/>
  <c r="B70" i="107"/>
  <c r="A70" i="107"/>
  <c r="B69" i="107"/>
  <c r="A69" i="107"/>
  <c r="B68" i="107"/>
  <c r="A68" i="107"/>
  <c r="B67" i="107"/>
  <c r="A67" i="107"/>
  <c r="B66" i="107"/>
  <c r="A66" i="107"/>
  <c r="B65" i="107"/>
  <c r="A65" i="107"/>
  <c r="B64" i="107"/>
  <c r="A64" i="107"/>
  <c r="B63" i="107"/>
  <c r="A63" i="107"/>
  <c r="B62" i="107"/>
  <c r="A62" i="107"/>
  <c r="B61" i="107"/>
  <c r="A61" i="107"/>
  <c r="B60" i="107"/>
  <c r="A60" i="107"/>
  <c r="B59" i="107"/>
  <c r="A59" i="107"/>
  <c r="B58" i="107"/>
  <c r="A58" i="107"/>
  <c r="B57" i="107"/>
  <c r="A57" i="107"/>
  <c r="B56" i="107"/>
  <c r="A56" i="107"/>
  <c r="B55" i="107"/>
  <c r="A55" i="107"/>
  <c r="B54" i="107"/>
  <c r="A54" i="107"/>
  <c r="B53" i="107"/>
  <c r="A53" i="107"/>
  <c r="B52" i="107"/>
  <c r="A52" i="107"/>
  <c r="B51" i="107"/>
  <c r="A51" i="107"/>
  <c r="B50" i="107"/>
  <c r="A50" i="107"/>
  <c r="B49" i="107"/>
  <c r="A49" i="107"/>
  <c r="H45" i="107"/>
  <c r="H40" i="107"/>
  <c r="H39" i="107"/>
  <c r="H32" i="107"/>
  <c r="H14" i="107"/>
  <c r="H17" i="107"/>
  <c r="H18" i="107"/>
  <c r="H19" i="107"/>
  <c r="H13" i="107"/>
  <c r="H7" i="107"/>
  <c r="H8" i="107"/>
  <c r="H9" i="107"/>
  <c r="H6" i="107"/>
  <c r="I9" i="81"/>
  <c r="I10" i="81"/>
  <c r="J7" i="81"/>
  <c r="N19" i="81"/>
  <c r="N18" i="81"/>
  <c r="H30" i="77"/>
  <c r="K7" i="112"/>
  <c r="K7" i="114"/>
  <c r="J7" i="116"/>
  <c r="J7" i="114"/>
  <c r="J54" i="116"/>
  <c r="G6" i="116"/>
  <c r="F6" i="116"/>
  <c r="L7" i="114"/>
  <c r="G6" i="114"/>
  <c r="F6" i="114"/>
  <c r="J7" i="112"/>
  <c r="R39" i="77"/>
  <c r="D6" i="116"/>
  <c r="A6" i="117"/>
  <c r="G17" i="116"/>
  <c r="G16" i="116"/>
  <c r="G15" i="116"/>
  <c r="G14" i="116"/>
  <c r="G13" i="116"/>
  <c r="G12" i="116"/>
  <c r="G11" i="116"/>
  <c r="A6" i="115"/>
  <c r="D6" i="114"/>
  <c r="H22" i="114"/>
  <c r="H23" i="114"/>
  <c r="G17" i="114"/>
  <c r="G16" i="114"/>
  <c r="G15" i="114"/>
  <c r="G14" i="114"/>
  <c r="G13" i="114"/>
  <c r="G12" i="114"/>
  <c r="G11" i="114"/>
  <c r="D22" i="114"/>
  <c r="A6" i="113"/>
  <c r="D6" i="112"/>
  <c r="K8" i="112"/>
  <c r="E6" i="112"/>
  <c r="H22" i="112"/>
  <c r="H23" i="112"/>
  <c r="G17" i="112"/>
  <c r="G16" i="112"/>
  <c r="G15" i="112"/>
  <c r="G14" i="112"/>
  <c r="G13" i="112"/>
  <c r="G12" i="112"/>
  <c r="G11" i="112"/>
  <c r="C6" i="112"/>
  <c r="H6" i="112"/>
  <c r="D28" i="116"/>
  <c r="D40" i="116"/>
  <c r="D33" i="116"/>
  <c r="D51" i="116"/>
  <c r="K8" i="114"/>
  <c r="E6" i="114"/>
  <c r="L7" i="112"/>
  <c r="F6" i="112"/>
  <c r="C28" i="116"/>
  <c r="G28" i="116"/>
  <c r="E28" i="116"/>
  <c r="D50" i="116"/>
  <c r="D48" i="116"/>
  <c r="D46" i="116"/>
  <c r="D44" i="116"/>
  <c r="D42" i="116"/>
  <c r="D39" i="116"/>
  <c r="D37" i="116"/>
  <c r="D35" i="116"/>
  <c r="D32" i="116"/>
  <c r="D30" i="116"/>
  <c r="D27" i="116"/>
  <c r="D25" i="116"/>
  <c r="D23" i="116"/>
  <c r="D49" i="116"/>
  <c r="D47" i="116"/>
  <c r="D45" i="116"/>
  <c r="D43" i="116"/>
  <c r="D41" i="116"/>
  <c r="D38" i="116"/>
  <c r="D36" i="116"/>
  <c r="D34" i="116"/>
  <c r="G34" i="116"/>
  <c r="D31" i="116"/>
  <c r="D29" i="116"/>
  <c r="D26" i="116"/>
  <c r="D24" i="116"/>
  <c r="D22" i="116"/>
  <c r="K8" i="116"/>
  <c r="E6" i="116"/>
  <c r="H6" i="116"/>
  <c r="J10" i="116"/>
  <c r="D6" i="115"/>
  <c r="D22" i="112"/>
  <c r="D6" i="113"/>
  <c r="D6" i="110"/>
  <c r="A6" i="111"/>
  <c r="G17" i="110"/>
  <c r="G16" i="110"/>
  <c r="G15" i="110"/>
  <c r="G14" i="110"/>
  <c r="G13" i="110"/>
  <c r="G12" i="110"/>
  <c r="G11" i="110"/>
  <c r="A32" i="79"/>
  <c r="A33" i="79"/>
  <c r="A34" i="79"/>
  <c r="A35" i="79"/>
  <c r="I41" i="77"/>
  <c r="H39" i="77"/>
  <c r="I39" i="77"/>
  <c r="L39" i="77"/>
  <c r="H28" i="116"/>
  <c r="C51" i="116"/>
  <c r="G51" i="116"/>
  <c r="E51" i="116"/>
  <c r="C40" i="116"/>
  <c r="G40" i="116"/>
  <c r="E40" i="116"/>
  <c r="J10" i="110"/>
  <c r="J11" i="110"/>
  <c r="J18" i="110"/>
  <c r="C6" i="110"/>
  <c r="D28" i="110"/>
  <c r="D30" i="110"/>
  <c r="D29" i="110"/>
  <c r="C6" i="114"/>
  <c r="H6" i="114"/>
  <c r="C33" i="116"/>
  <c r="G33" i="116"/>
  <c r="E33" i="116"/>
  <c r="H33" i="116"/>
  <c r="H7" i="114"/>
  <c r="B6" i="115"/>
  <c r="D26" i="110"/>
  <c r="D24" i="110"/>
  <c r="D22" i="110"/>
  <c r="G22" i="110"/>
  <c r="D27" i="110"/>
  <c r="D25" i="110"/>
  <c r="D23" i="110"/>
  <c r="G22" i="116"/>
  <c r="C22" i="116"/>
  <c r="E22" i="116"/>
  <c r="G26" i="116"/>
  <c r="C26" i="116"/>
  <c r="E26" i="116"/>
  <c r="G31" i="116"/>
  <c r="C31" i="116"/>
  <c r="E31" i="116"/>
  <c r="G36" i="116"/>
  <c r="C36" i="116"/>
  <c r="E36" i="116"/>
  <c r="G41" i="116"/>
  <c r="C41" i="116"/>
  <c r="E41" i="116"/>
  <c r="G45" i="116"/>
  <c r="C45" i="116"/>
  <c r="E45" i="116"/>
  <c r="G49" i="116"/>
  <c r="C49" i="116"/>
  <c r="E49" i="116"/>
  <c r="C25" i="116"/>
  <c r="E25" i="116"/>
  <c r="G25" i="116"/>
  <c r="C30" i="116"/>
  <c r="E30" i="116"/>
  <c r="G30" i="116"/>
  <c r="H30" i="116"/>
  <c r="C35" i="116"/>
  <c r="E35" i="116"/>
  <c r="G35" i="116"/>
  <c r="H35" i="116"/>
  <c r="C39" i="116"/>
  <c r="E39" i="116"/>
  <c r="G39" i="116"/>
  <c r="H39" i="116"/>
  <c r="C44" i="116"/>
  <c r="E44" i="116"/>
  <c r="G44" i="116"/>
  <c r="H44" i="116"/>
  <c r="C48" i="116"/>
  <c r="E48" i="116"/>
  <c r="G48" i="116"/>
  <c r="H48" i="116"/>
  <c r="G24" i="116"/>
  <c r="C24" i="116"/>
  <c r="E24" i="116"/>
  <c r="G29" i="116"/>
  <c r="C29" i="116"/>
  <c r="E29" i="116"/>
  <c r="C34" i="116"/>
  <c r="E34" i="116"/>
  <c r="H34" i="116"/>
  <c r="G38" i="116"/>
  <c r="C38" i="116"/>
  <c r="E38" i="116"/>
  <c r="G43" i="116"/>
  <c r="C43" i="116"/>
  <c r="E43" i="116"/>
  <c r="G47" i="116"/>
  <c r="C47" i="116"/>
  <c r="E47" i="116"/>
  <c r="C23" i="116"/>
  <c r="E23" i="116"/>
  <c r="G23" i="116"/>
  <c r="C27" i="116"/>
  <c r="E27" i="116"/>
  <c r="G27" i="116"/>
  <c r="G32" i="116"/>
  <c r="C32" i="116"/>
  <c r="E32" i="116"/>
  <c r="C37" i="116"/>
  <c r="E37" i="116"/>
  <c r="G37" i="116"/>
  <c r="C42" i="116"/>
  <c r="E42" i="116"/>
  <c r="G42" i="116"/>
  <c r="C46" i="116"/>
  <c r="E46" i="116"/>
  <c r="G46" i="116"/>
  <c r="C50" i="116"/>
  <c r="E50" i="116"/>
  <c r="G50" i="116"/>
  <c r="H7" i="116"/>
  <c r="B6" i="117"/>
  <c r="C6" i="116"/>
  <c r="A6" i="99"/>
  <c r="A6" i="97"/>
  <c r="A6" i="95"/>
  <c r="A6" i="91"/>
  <c r="A6" i="89"/>
  <c r="A6" i="87"/>
  <c r="A6" i="85"/>
  <c r="A6" i="83"/>
  <c r="H50" i="116"/>
  <c r="H46" i="116"/>
  <c r="H42" i="116"/>
  <c r="H37" i="116"/>
  <c r="H27" i="116"/>
  <c r="H23" i="116"/>
  <c r="H25" i="116"/>
  <c r="H51" i="116"/>
  <c r="G30" i="110"/>
  <c r="E30" i="110"/>
  <c r="H32" i="116"/>
  <c r="H47" i="116"/>
  <c r="H43" i="116"/>
  <c r="H38" i="116"/>
  <c r="H29" i="116"/>
  <c r="H24" i="116"/>
  <c r="H49" i="116"/>
  <c r="H45" i="116"/>
  <c r="H41" i="116"/>
  <c r="H36" i="116"/>
  <c r="H31" i="116"/>
  <c r="H26" i="116"/>
  <c r="H22" i="116"/>
  <c r="E29" i="110"/>
  <c r="G29" i="110"/>
  <c r="G28" i="110"/>
  <c r="E28" i="110"/>
  <c r="H28" i="110"/>
  <c r="H40" i="116"/>
  <c r="H7" i="112"/>
  <c r="B6" i="113"/>
  <c r="E23" i="110"/>
  <c r="G23" i="110"/>
  <c r="E27" i="110"/>
  <c r="G27" i="110"/>
  <c r="G24" i="110"/>
  <c r="E24" i="110"/>
  <c r="H24" i="110"/>
  <c r="E25" i="110"/>
  <c r="G25" i="110"/>
  <c r="G26" i="110"/>
  <c r="E26" i="110"/>
  <c r="H26" i="110"/>
  <c r="E22" i="110"/>
  <c r="H22" i="110"/>
  <c r="D6" i="98"/>
  <c r="D6" i="96"/>
  <c r="D6" i="94"/>
  <c r="D17" i="94"/>
  <c r="J17" i="94"/>
  <c r="D6" i="90"/>
  <c r="D6" i="88"/>
  <c r="D11" i="88"/>
  <c r="D6" i="86"/>
  <c r="D11" i="86"/>
  <c r="D12" i="86"/>
  <c r="D6" i="84"/>
  <c r="D6" i="82"/>
  <c r="F15" i="81"/>
  <c r="F8" i="81"/>
  <c r="F9" i="81"/>
  <c r="F10" i="81"/>
  <c r="F11" i="81"/>
  <c r="F12" i="81"/>
  <c r="F13" i="81"/>
  <c r="F7" i="81"/>
  <c r="D11" i="84"/>
  <c r="D23" i="84"/>
  <c r="C23" i="84"/>
  <c r="C11" i="88"/>
  <c r="H52" i="116"/>
  <c r="K53" i="116"/>
  <c r="K54" i="116"/>
  <c r="H30" i="110"/>
  <c r="D17" i="86"/>
  <c r="J17" i="86"/>
  <c r="D11" i="90"/>
  <c r="H25" i="110"/>
  <c r="H27" i="110"/>
  <c r="H23" i="110"/>
  <c r="H29" i="110"/>
  <c r="D6" i="117"/>
  <c r="C11" i="84"/>
  <c r="D22" i="84"/>
  <c r="D24" i="84"/>
  <c r="D21" i="84"/>
  <c r="H31" i="110"/>
  <c r="K31" i="110"/>
  <c r="K32" i="110"/>
  <c r="C11" i="90"/>
  <c r="E11" i="90"/>
  <c r="H11" i="90"/>
  <c r="B9" i="107"/>
  <c r="B8" i="107"/>
  <c r="D6" i="111"/>
  <c r="K7" i="98"/>
  <c r="P41" i="77"/>
  <c r="F5" i="102"/>
  <c r="AB109" i="104"/>
  <c r="AB106" i="104"/>
  <c r="AB105" i="104"/>
  <c r="AB108" i="104"/>
  <c r="K91" i="102"/>
  <c r="E92" i="102"/>
  <c r="G92" i="102"/>
  <c r="G112" i="102"/>
  <c r="J112" i="102"/>
  <c r="J34" i="102"/>
  <c r="G183" i="102"/>
  <c r="J183" i="102"/>
  <c r="E159" i="102"/>
  <c r="D232" i="106"/>
  <c r="Y232" i="106" s="1"/>
  <c r="Y233" i="106" s="1"/>
  <c r="D231" i="106"/>
  <c r="D230" i="106"/>
  <c r="D229" i="106"/>
  <c r="D228" i="106"/>
  <c r="D226" i="106"/>
  <c r="X217" i="106"/>
  <c r="D202" i="106"/>
  <c r="AA201" i="106"/>
  <c r="J201" i="106"/>
  <c r="N201" i="106"/>
  <c r="H201" i="106"/>
  <c r="AA200" i="106"/>
  <c r="H200" i="106"/>
  <c r="AA199" i="106"/>
  <c r="H199" i="106"/>
  <c r="AA198" i="106"/>
  <c r="H198" i="106"/>
  <c r="AA197" i="106"/>
  <c r="H197" i="106"/>
  <c r="AA196" i="106"/>
  <c r="H196" i="106"/>
  <c r="AA195" i="106"/>
  <c r="H195" i="106"/>
  <c r="AA194" i="106"/>
  <c r="H194" i="106"/>
  <c r="AA193" i="106"/>
  <c r="H193" i="106"/>
  <c r="AA192" i="106"/>
  <c r="H192" i="106"/>
  <c r="AA191" i="106"/>
  <c r="H191" i="106"/>
  <c r="J191" i="106"/>
  <c r="AA190" i="106"/>
  <c r="H190" i="106"/>
  <c r="AA189" i="106"/>
  <c r="H189" i="106"/>
  <c r="AA188" i="106"/>
  <c r="H188" i="106"/>
  <c r="AA187" i="106"/>
  <c r="H187" i="106"/>
  <c r="AA186" i="106"/>
  <c r="H186" i="106"/>
  <c r="AA185" i="106"/>
  <c r="H185" i="106"/>
  <c r="AA184" i="106"/>
  <c r="H184" i="106"/>
  <c r="J184" i="106"/>
  <c r="AA183" i="106"/>
  <c r="H183" i="106"/>
  <c r="J183" i="106"/>
  <c r="AA182" i="106"/>
  <c r="H182" i="106"/>
  <c r="AA181" i="106"/>
  <c r="H181" i="106"/>
  <c r="J181" i="106"/>
  <c r="AA180" i="106"/>
  <c r="H180" i="106"/>
  <c r="AA179" i="106"/>
  <c r="H179" i="106"/>
  <c r="AA178" i="106"/>
  <c r="H178" i="106"/>
  <c r="AA177" i="106"/>
  <c r="H177" i="106"/>
  <c r="AA176" i="106"/>
  <c r="H176" i="106"/>
  <c r="AA175" i="106"/>
  <c r="H175" i="106"/>
  <c r="AA174" i="106"/>
  <c r="H174" i="106"/>
  <c r="AA173" i="106"/>
  <c r="H173" i="106"/>
  <c r="AA172" i="106"/>
  <c r="H172" i="106"/>
  <c r="AA171" i="106"/>
  <c r="H171" i="106"/>
  <c r="AA170" i="106"/>
  <c r="H170" i="106"/>
  <c r="AA169" i="106"/>
  <c r="H169" i="106"/>
  <c r="F19" i="103"/>
  <c r="AA168" i="106"/>
  <c r="J168" i="106"/>
  <c r="H168" i="106"/>
  <c r="AA167" i="106"/>
  <c r="H167" i="106"/>
  <c r="AA166" i="106"/>
  <c r="H166" i="106"/>
  <c r="AA165" i="106"/>
  <c r="H165" i="106"/>
  <c r="AA164" i="106"/>
  <c r="H164" i="106"/>
  <c r="F18" i="103"/>
  <c r="AA163" i="106"/>
  <c r="H163" i="106"/>
  <c r="AA162" i="106"/>
  <c r="H162" i="106"/>
  <c r="J162" i="106"/>
  <c r="AA161" i="106"/>
  <c r="H161" i="106"/>
  <c r="AA160" i="106"/>
  <c r="J160" i="106"/>
  <c r="H160" i="106"/>
  <c r="AA159" i="106"/>
  <c r="H159" i="106"/>
  <c r="AA158" i="106"/>
  <c r="H158" i="106"/>
  <c r="AA157" i="106"/>
  <c r="H157" i="106"/>
  <c r="J157" i="106"/>
  <c r="AA156" i="106"/>
  <c r="H156" i="106"/>
  <c r="J156" i="106"/>
  <c r="AA155" i="106"/>
  <c r="H155" i="106"/>
  <c r="AA154" i="106"/>
  <c r="H154" i="106"/>
  <c r="AA153" i="106"/>
  <c r="H153" i="106"/>
  <c r="AA152" i="106"/>
  <c r="H152" i="106"/>
  <c r="AA151" i="106"/>
  <c r="J151" i="106"/>
  <c r="H151" i="106"/>
  <c r="AA150" i="106"/>
  <c r="H150" i="106"/>
  <c r="AA149" i="106"/>
  <c r="H149" i="106"/>
  <c r="AA148" i="106"/>
  <c r="H148" i="106"/>
  <c r="AA147" i="106"/>
  <c r="H147" i="106"/>
  <c r="AA146" i="106"/>
  <c r="H146" i="106"/>
  <c r="AA145" i="106"/>
  <c r="H145" i="106"/>
  <c r="AA144" i="106"/>
  <c r="H144" i="106"/>
  <c r="AA143" i="106"/>
  <c r="H143" i="106"/>
  <c r="F14" i="103"/>
  <c r="AA142" i="106"/>
  <c r="H142" i="106"/>
  <c r="F13" i="103"/>
  <c r="AA141" i="106"/>
  <c r="J141" i="106"/>
  <c r="H141" i="106"/>
  <c r="AA140" i="106"/>
  <c r="H140" i="106"/>
  <c r="AA139" i="106"/>
  <c r="H139" i="106"/>
  <c r="AA138" i="106"/>
  <c r="H138" i="106"/>
  <c r="AA137" i="106"/>
  <c r="H137" i="106"/>
  <c r="F11" i="103"/>
  <c r="AA136" i="106"/>
  <c r="H136" i="106"/>
  <c r="J136" i="106"/>
  <c r="AA135" i="106"/>
  <c r="H135" i="106"/>
  <c r="AA134" i="106"/>
  <c r="H134" i="106"/>
  <c r="AA133" i="106"/>
  <c r="J133" i="106"/>
  <c r="H133" i="106"/>
  <c r="AA132" i="106"/>
  <c r="H132" i="106"/>
  <c r="AA131" i="106"/>
  <c r="H131" i="106"/>
  <c r="AA130" i="106"/>
  <c r="H130" i="106"/>
  <c r="F8" i="103"/>
  <c r="AA129" i="106"/>
  <c r="H129" i="106"/>
  <c r="AA128" i="106"/>
  <c r="H128" i="106"/>
  <c r="AA127" i="106"/>
  <c r="H127" i="106"/>
  <c r="AA126" i="106"/>
  <c r="J126" i="106"/>
  <c r="H126" i="106"/>
  <c r="AA125" i="106"/>
  <c r="H125" i="106"/>
  <c r="AA124" i="106"/>
  <c r="H124" i="106"/>
  <c r="AA123" i="106"/>
  <c r="H123" i="106"/>
  <c r="AA122" i="106"/>
  <c r="H122" i="106"/>
  <c r="AA121" i="106"/>
  <c r="H121" i="106"/>
  <c r="J121" i="106"/>
  <c r="AA120" i="106"/>
  <c r="H120" i="106"/>
  <c r="AA119" i="106"/>
  <c r="H119" i="106"/>
  <c r="AA118" i="106"/>
  <c r="H118" i="106"/>
  <c r="AA117" i="106"/>
  <c r="H117" i="106"/>
  <c r="AA116" i="106"/>
  <c r="H116" i="106"/>
  <c r="AA115" i="106"/>
  <c r="H115" i="106"/>
  <c r="F5" i="103"/>
  <c r="AA114" i="106"/>
  <c r="H114" i="106"/>
  <c r="AA113" i="106"/>
  <c r="J113" i="106"/>
  <c r="H113" i="106"/>
  <c r="AA112" i="106"/>
  <c r="H112" i="106"/>
  <c r="AA111" i="106"/>
  <c r="H111" i="106"/>
  <c r="J111" i="106"/>
  <c r="AA110" i="106"/>
  <c r="H110" i="106"/>
  <c r="AA109" i="106"/>
  <c r="H109" i="106"/>
  <c r="J109" i="106"/>
  <c r="AA108" i="106"/>
  <c r="H108" i="106"/>
  <c r="AA107" i="106"/>
  <c r="H107" i="106"/>
  <c r="J107" i="106"/>
  <c r="AA106" i="106"/>
  <c r="H106" i="106"/>
  <c r="AA105" i="106"/>
  <c r="J105" i="106"/>
  <c r="H105" i="106"/>
  <c r="AA104" i="106"/>
  <c r="H104" i="106"/>
  <c r="AA103" i="106"/>
  <c r="H103" i="106"/>
  <c r="J103" i="106"/>
  <c r="AA102" i="106"/>
  <c r="H102" i="106"/>
  <c r="AA101" i="106"/>
  <c r="H101" i="106"/>
  <c r="J101" i="106"/>
  <c r="AA100" i="106"/>
  <c r="H100" i="106"/>
  <c r="AA99" i="106"/>
  <c r="H99" i="106"/>
  <c r="J99" i="106"/>
  <c r="AA98" i="106"/>
  <c r="H98" i="106"/>
  <c r="AA97" i="106"/>
  <c r="J97" i="106"/>
  <c r="H97" i="106"/>
  <c r="AA96" i="106"/>
  <c r="H96" i="106"/>
  <c r="AA95" i="106"/>
  <c r="H95" i="106"/>
  <c r="J95" i="106"/>
  <c r="AA94" i="106"/>
  <c r="H94" i="106"/>
  <c r="AA93" i="106"/>
  <c r="H93" i="106"/>
  <c r="J93" i="106"/>
  <c r="AA92" i="106"/>
  <c r="H92" i="106"/>
  <c r="AA91" i="106"/>
  <c r="H91" i="106"/>
  <c r="J91" i="106"/>
  <c r="AA90" i="106"/>
  <c r="H90" i="106"/>
  <c r="AA89" i="106"/>
  <c r="H89" i="106"/>
  <c r="J89" i="106"/>
  <c r="AA88" i="106"/>
  <c r="H88" i="106"/>
  <c r="AA87" i="106"/>
  <c r="H87" i="106"/>
  <c r="J87" i="106"/>
  <c r="AA86" i="106"/>
  <c r="H86" i="106"/>
  <c r="AA85" i="106"/>
  <c r="H85" i="106"/>
  <c r="J85" i="106"/>
  <c r="AA84" i="106"/>
  <c r="H84" i="106"/>
  <c r="AA83" i="106"/>
  <c r="H83" i="106"/>
  <c r="J83" i="106"/>
  <c r="AA82" i="106"/>
  <c r="H82" i="106"/>
  <c r="AA81" i="106"/>
  <c r="J81" i="106"/>
  <c r="H81" i="106"/>
  <c r="AA80" i="106"/>
  <c r="H80" i="106"/>
  <c r="AA79" i="106"/>
  <c r="H79" i="106"/>
  <c r="J79" i="106"/>
  <c r="AA78" i="106"/>
  <c r="H78" i="106"/>
  <c r="AA77" i="106"/>
  <c r="H77" i="106"/>
  <c r="AA76" i="106"/>
  <c r="H76" i="106"/>
  <c r="AA75" i="106"/>
  <c r="H75" i="106"/>
  <c r="AA74" i="106"/>
  <c r="H74" i="106"/>
  <c r="AA73" i="106"/>
  <c r="H73" i="106"/>
  <c r="AA72" i="106"/>
  <c r="H72" i="106"/>
  <c r="AA71" i="106"/>
  <c r="H71" i="106"/>
  <c r="AA70" i="106"/>
  <c r="H70" i="106"/>
  <c r="AA69" i="106"/>
  <c r="H69" i="106"/>
  <c r="AA68" i="106"/>
  <c r="H68" i="106"/>
  <c r="AA67" i="106"/>
  <c r="H67" i="106"/>
  <c r="AA66" i="106"/>
  <c r="H66" i="106"/>
  <c r="AA65" i="106"/>
  <c r="H65" i="106"/>
  <c r="AA64" i="106"/>
  <c r="H64" i="106"/>
  <c r="AA63" i="106"/>
  <c r="G63" i="106"/>
  <c r="H63" i="106"/>
  <c r="H44" i="53"/>
  <c r="AA62" i="106"/>
  <c r="H62" i="106"/>
  <c r="J62" i="106"/>
  <c r="AA61" i="106"/>
  <c r="H61" i="106"/>
  <c r="AA60" i="106"/>
  <c r="J60" i="106"/>
  <c r="H60" i="106"/>
  <c r="AA59" i="106"/>
  <c r="H59" i="106"/>
  <c r="AA58" i="106"/>
  <c r="H58" i="106"/>
  <c r="J58" i="106"/>
  <c r="AA57" i="106"/>
  <c r="H57" i="106"/>
  <c r="AA56" i="106"/>
  <c r="H56" i="106"/>
  <c r="AA55" i="106"/>
  <c r="H55" i="106"/>
  <c r="J55" i="106"/>
  <c r="AA54" i="106"/>
  <c r="H54" i="106"/>
  <c r="AA53" i="106"/>
  <c r="H53" i="106"/>
  <c r="AA52" i="106"/>
  <c r="H52" i="106"/>
  <c r="AA51" i="106"/>
  <c r="H51" i="106"/>
  <c r="AA50" i="106"/>
  <c r="H50" i="106"/>
  <c r="AA49" i="106"/>
  <c r="H49" i="106"/>
  <c r="J49" i="106"/>
  <c r="AA48" i="106"/>
  <c r="H48" i="106"/>
  <c r="AA47" i="106"/>
  <c r="H47" i="106"/>
  <c r="J47" i="106"/>
  <c r="AA46" i="106"/>
  <c r="H46" i="106"/>
  <c r="AA45" i="106"/>
  <c r="J45" i="106"/>
  <c r="H45" i="106"/>
  <c r="AA44" i="106"/>
  <c r="H44" i="106"/>
  <c r="AA43" i="106"/>
  <c r="H43" i="106"/>
  <c r="AA42" i="106"/>
  <c r="H42" i="106"/>
  <c r="AA41" i="106"/>
  <c r="H41" i="106"/>
  <c r="AA40" i="106"/>
  <c r="H40" i="106"/>
  <c r="AA39" i="106"/>
  <c r="H39" i="106"/>
  <c r="AA38" i="106"/>
  <c r="H38" i="106"/>
  <c r="AA37" i="106"/>
  <c r="H37" i="106"/>
  <c r="AA36" i="106"/>
  <c r="H36" i="106"/>
  <c r="H45" i="53"/>
  <c r="AA35" i="106"/>
  <c r="H35" i="106"/>
  <c r="AA34" i="106"/>
  <c r="H34" i="106"/>
  <c r="AA33" i="106"/>
  <c r="H33" i="106"/>
  <c r="AA32" i="106"/>
  <c r="H32" i="106"/>
  <c r="AA31" i="106"/>
  <c r="H31" i="106"/>
  <c r="AA30" i="106"/>
  <c r="H30" i="106"/>
  <c r="AA29" i="106"/>
  <c r="H29" i="106"/>
  <c r="AA28" i="106"/>
  <c r="J28" i="106"/>
  <c r="H28" i="106"/>
  <c r="AA27" i="106"/>
  <c r="H27" i="106"/>
  <c r="H231" i="106"/>
  <c r="Y231" i="106"/>
  <c r="AA26" i="106"/>
  <c r="H26" i="106"/>
  <c r="AA25" i="106"/>
  <c r="H25" i="106"/>
  <c r="AA24" i="106"/>
  <c r="H24" i="106"/>
  <c r="H23" i="106"/>
  <c r="H22" i="106"/>
  <c r="H21" i="106"/>
  <c r="H232" i="106"/>
  <c r="J49" i="53"/>
  <c r="G20" i="106"/>
  <c r="G202" i="106"/>
  <c r="H19" i="106"/>
  <c r="J21" i="106"/>
  <c r="Y31" i="106"/>
  <c r="F24" i="103"/>
  <c r="J23" i="106"/>
  <c r="J57" i="106"/>
  <c r="V57" i="106"/>
  <c r="J61" i="106"/>
  <c r="V61" i="106"/>
  <c r="H229" i="106"/>
  <c r="Y229" i="106"/>
  <c r="H46" i="53"/>
  <c r="F2" i="103"/>
  <c r="J78" i="106"/>
  <c r="V82" i="106"/>
  <c r="J82" i="106"/>
  <c r="H20" i="106"/>
  <c r="H227" i="106"/>
  <c r="Y227" i="106"/>
  <c r="V28" i="106"/>
  <c r="J30" i="106"/>
  <c r="V30" i="106"/>
  <c r="V45" i="106"/>
  <c r="H47" i="53"/>
  <c r="J46" i="106"/>
  <c r="V46" i="106"/>
  <c r="V47" i="106"/>
  <c r="J48" i="106"/>
  <c r="V48" i="106"/>
  <c r="V49" i="106"/>
  <c r="J50" i="106"/>
  <c r="V50" i="106"/>
  <c r="J51" i="106"/>
  <c r="V51" i="106"/>
  <c r="J59" i="106"/>
  <c r="V59" i="106"/>
  <c r="N61" i="106"/>
  <c r="J80" i="106"/>
  <c r="V80" i="106"/>
  <c r="J84" i="106"/>
  <c r="V84" i="106"/>
  <c r="F9" i="103"/>
  <c r="F12" i="103"/>
  <c r="F15" i="103"/>
  <c r="F22" i="103"/>
  <c r="V55" i="106"/>
  <c r="V58" i="106"/>
  <c r="V60" i="106"/>
  <c r="V79" i="106"/>
  <c r="V81" i="106"/>
  <c r="V83" i="106"/>
  <c r="V85" i="106"/>
  <c r="J86" i="106"/>
  <c r="V86" i="106"/>
  <c r="V87" i="106"/>
  <c r="J88" i="106"/>
  <c r="V88" i="106"/>
  <c r="V89" i="106"/>
  <c r="J90" i="106"/>
  <c r="V90" i="106"/>
  <c r="V91" i="106"/>
  <c r="J92" i="106"/>
  <c r="V92" i="106"/>
  <c r="V93" i="106"/>
  <c r="J94" i="106"/>
  <c r="V94" i="106"/>
  <c r="V95" i="106"/>
  <c r="F3" i="103"/>
  <c r="J96" i="106"/>
  <c r="V96" i="106"/>
  <c r="V97" i="106"/>
  <c r="J98" i="106"/>
  <c r="V98" i="106"/>
  <c r="V99" i="106"/>
  <c r="J100" i="106"/>
  <c r="V100" i="106"/>
  <c r="V101" i="106"/>
  <c r="J102" i="106"/>
  <c r="V102" i="106"/>
  <c r="V103" i="106"/>
  <c r="J104" i="106"/>
  <c r="V104" i="106"/>
  <c r="V105" i="106"/>
  <c r="J106" i="106"/>
  <c r="V106" i="106"/>
  <c r="V107" i="106"/>
  <c r="J108" i="106"/>
  <c r="V108" i="106"/>
  <c r="V109" i="106"/>
  <c r="F4" i="103"/>
  <c r="J110" i="106"/>
  <c r="V110" i="106"/>
  <c r="V111" i="106"/>
  <c r="J112" i="106"/>
  <c r="V112" i="106"/>
  <c r="V113" i="106"/>
  <c r="J114" i="106"/>
  <c r="V114" i="106"/>
  <c r="V121" i="106"/>
  <c r="F6" i="103"/>
  <c r="J122" i="106"/>
  <c r="V122" i="106"/>
  <c r="F7" i="103"/>
  <c r="J127" i="106"/>
  <c r="V127" i="106"/>
  <c r="J132" i="106"/>
  <c r="V132" i="106"/>
  <c r="V133" i="106"/>
  <c r="J134" i="106"/>
  <c r="V134" i="106"/>
  <c r="V136" i="106"/>
  <c r="F10" i="103"/>
  <c r="J140" i="106"/>
  <c r="V140" i="106"/>
  <c r="V141" i="106"/>
  <c r="J150" i="106"/>
  <c r="V150" i="106"/>
  <c r="V151" i="106"/>
  <c r="J152" i="106"/>
  <c r="V152" i="106"/>
  <c r="F16" i="103"/>
  <c r="J155" i="106"/>
  <c r="N155" i="106"/>
  <c r="V157" i="106"/>
  <c r="J158" i="106"/>
  <c r="V158" i="106"/>
  <c r="V160" i="106"/>
  <c r="F17" i="103"/>
  <c r="J161" i="106"/>
  <c r="V161" i="106"/>
  <c r="V162" i="106"/>
  <c r="J163" i="106"/>
  <c r="V163" i="106"/>
  <c r="V168" i="106"/>
  <c r="J175" i="106"/>
  <c r="V175" i="106"/>
  <c r="V181" i="106"/>
  <c r="F23" i="103"/>
  <c r="J182" i="106"/>
  <c r="V182" i="106"/>
  <c r="V183" i="106"/>
  <c r="V191" i="106"/>
  <c r="J195" i="106"/>
  <c r="V195" i="106"/>
  <c r="F27" i="103"/>
  <c r="J19" i="106"/>
  <c r="L19" i="106"/>
  <c r="J20" i="106"/>
  <c r="N20" i="106"/>
  <c r="L21" i="106"/>
  <c r="P21" i="106"/>
  <c r="V21" i="106"/>
  <c r="J22" i="106"/>
  <c r="V22" i="106"/>
  <c r="H230" i="106"/>
  <c r="Y230" i="106"/>
  <c r="L23" i="106"/>
  <c r="P23" i="106"/>
  <c r="V23" i="106"/>
  <c r="J24" i="106"/>
  <c r="V24" i="106"/>
  <c r="J25" i="106"/>
  <c r="V25" i="106"/>
  <c r="J26" i="106"/>
  <c r="V26" i="106"/>
  <c r="J27" i="106"/>
  <c r="N27" i="106"/>
  <c r="L28" i="106"/>
  <c r="P28" i="106"/>
  <c r="J29" i="106"/>
  <c r="V29" i="106"/>
  <c r="L30" i="106"/>
  <c r="P30" i="106"/>
  <c r="J31" i="106"/>
  <c r="V31" i="106"/>
  <c r="N31" i="106"/>
  <c r="J32" i="106"/>
  <c r="V32" i="106"/>
  <c r="J33" i="106"/>
  <c r="N33" i="106"/>
  <c r="J34" i="106"/>
  <c r="V34" i="106"/>
  <c r="J35" i="106"/>
  <c r="N35" i="106"/>
  <c r="J36" i="106"/>
  <c r="V36" i="106"/>
  <c r="J37" i="106"/>
  <c r="N37" i="106"/>
  <c r="J38" i="106"/>
  <c r="V38" i="106"/>
  <c r="J39" i="106"/>
  <c r="N39" i="106"/>
  <c r="J40" i="106"/>
  <c r="V40" i="106"/>
  <c r="J41" i="106"/>
  <c r="N41" i="106"/>
  <c r="J42" i="106"/>
  <c r="V42" i="106"/>
  <c r="J43" i="106"/>
  <c r="N43" i="106"/>
  <c r="J44" i="106"/>
  <c r="V44" i="106"/>
  <c r="L45" i="106"/>
  <c r="P45" i="106"/>
  <c r="L46" i="106"/>
  <c r="P46" i="106"/>
  <c r="L47" i="106"/>
  <c r="P47" i="106"/>
  <c r="L48" i="106"/>
  <c r="P48" i="106"/>
  <c r="L49" i="106"/>
  <c r="P49" i="106"/>
  <c r="L50" i="106"/>
  <c r="P50" i="106"/>
  <c r="L51" i="106"/>
  <c r="P51" i="106"/>
  <c r="J52" i="106"/>
  <c r="V52" i="106"/>
  <c r="J53" i="106"/>
  <c r="V53" i="106"/>
  <c r="J54" i="106"/>
  <c r="V54" i="106"/>
  <c r="L55" i="106"/>
  <c r="P55" i="106"/>
  <c r="J56" i="106"/>
  <c r="V56" i="106"/>
  <c r="L57" i="106"/>
  <c r="P57" i="106"/>
  <c r="L58" i="106"/>
  <c r="P58" i="106"/>
  <c r="L59" i="106"/>
  <c r="P59" i="106"/>
  <c r="L60" i="106"/>
  <c r="P60" i="106"/>
  <c r="V62" i="106"/>
  <c r="N62" i="106"/>
  <c r="H228" i="106"/>
  <c r="Y228" i="106"/>
  <c r="J63" i="106"/>
  <c r="N63" i="106"/>
  <c r="N228" i="106"/>
  <c r="V63" i="106"/>
  <c r="V228" i="106"/>
  <c r="J65" i="106"/>
  <c r="V65" i="106"/>
  <c r="N67" i="106"/>
  <c r="J67" i="106"/>
  <c r="P67" i="106"/>
  <c r="V67" i="106"/>
  <c r="J69" i="106"/>
  <c r="V69" i="106"/>
  <c r="J71" i="106"/>
  <c r="N71" i="106"/>
  <c r="V71" i="106"/>
  <c r="H226" i="106"/>
  <c r="H43" i="53"/>
  <c r="H48" i="53"/>
  <c r="H202" i="106"/>
  <c r="H203" i="106"/>
  <c r="P19" i="106"/>
  <c r="V19" i="106"/>
  <c r="N21" i="106"/>
  <c r="L22" i="106"/>
  <c r="P22" i="106"/>
  <c r="N23" i="106"/>
  <c r="L25" i="106"/>
  <c r="P25" i="106"/>
  <c r="L26" i="106"/>
  <c r="L27" i="106"/>
  <c r="P27" i="106"/>
  <c r="V27" i="106"/>
  <c r="N28" i="106"/>
  <c r="N30" i="106"/>
  <c r="R30" i="106"/>
  <c r="L31" i="106"/>
  <c r="P31" i="106"/>
  <c r="T31" i="106"/>
  <c r="L32" i="106"/>
  <c r="P32" i="106"/>
  <c r="L34" i="106"/>
  <c r="P34" i="106"/>
  <c r="P35" i="106"/>
  <c r="L36" i="106"/>
  <c r="P36" i="106"/>
  <c r="L38" i="106"/>
  <c r="P38" i="106"/>
  <c r="L40" i="106"/>
  <c r="P40" i="106"/>
  <c r="L42" i="106"/>
  <c r="P42" i="106"/>
  <c r="P43" i="106"/>
  <c r="L44" i="106"/>
  <c r="P44" i="106"/>
  <c r="N45" i="106"/>
  <c r="N46" i="106"/>
  <c r="T46" i="106"/>
  <c r="N47" i="106"/>
  <c r="N48" i="106"/>
  <c r="T48" i="106"/>
  <c r="N49" i="106"/>
  <c r="N50" i="106"/>
  <c r="T50" i="106"/>
  <c r="N51" i="106"/>
  <c r="L52" i="106"/>
  <c r="L53" i="106"/>
  <c r="P53" i="106"/>
  <c r="N55" i="106"/>
  <c r="L56" i="106"/>
  <c r="P56" i="106"/>
  <c r="N57" i="106"/>
  <c r="N58" i="106"/>
  <c r="N59" i="106"/>
  <c r="N60" i="106"/>
  <c r="J64" i="106"/>
  <c r="N64" i="106"/>
  <c r="J66" i="106"/>
  <c r="N66" i="106"/>
  <c r="J68" i="106"/>
  <c r="N68" i="106"/>
  <c r="J70" i="106"/>
  <c r="N70" i="106"/>
  <c r="J72" i="106"/>
  <c r="P72" i="106"/>
  <c r="L61" i="106"/>
  <c r="P61" i="106"/>
  <c r="L62" i="106"/>
  <c r="P62" i="106"/>
  <c r="J73" i="106"/>
  <c r="V73" i="106"/>
  <c r="J74" i="106"/>
  <c r="V74" i="106"/>
  <c r="J75" i="106"/>
  <c r="V75" i="106"/>
  <c r="J76" i="106"/>
  <c r="V76" i="106"/>
  <c r="J77" i="106"/>
  <c r="V77" i="106"/>
  <c r="L78" i="106"/>
  <c r="P78" i="106"/>
  <c r="V78" i="106"/>
  <c r="L79" i="106"/>
  <c r="P79" i="106"/>
  <c r="L80" i="106"/>
  <c r="P80" i="106"/>
  <c r="L81" i="106"/>
  <c r="P81" i="106"/>
  <c r="L82" i="106"/>
  <c r="P82" i="106"/>
  <c r="L83" i="106"/>
  <c r="P83" i="106"/>
  <c r="L84" i="106"/>
  <c r="P84" i="106"/>
  <c r="L85" i="106"/>
  <c r="P85" i="106"/>
  <c r="L86" i="106"/>
  <c r="P86" i="106"/>
  <c r="L87" i="106"/>
  <c r="P87" i="106"/>
  <c r="L88" i="106"/>
  <c r="P88" i="106"/>
  <c r="L89" i="106"/>
  <c r="P89" i="106"/>
  <c r="L90" i="106"/>
  <c r="P90" i="106"/>
  <c r="L91" i="106"/>
  <c r="P91" i="106"/>
  <c r="L92" i="106"/>
  <c r="P92" i="106"/>
  <c r="L93" i="106"/>
  <c r="P93" i="106"/>
  <c r="L94" i="106"/>
  <c r="P94" i="106"/>
  <c r="L95" i="106"/>
  <c r="P95" i="106"/>
  <c r="L96" i="106"/>
  <c r="P96" i="106"/>
  <c r="L97" i="106"/>
  <c r="P97" i="106"/>
  <c r="L98" i="106"/>
  <c r="P98" i="106"/>
  <c r="L99" i="106"/>
  <c r="P99" i="106"/>
  <c r="L100" i="106"/>
  <c r="P100" i="106"/>
  <c r="L101" i="106"/>
  <c r="P101" i="106"/>
  <c r="L102" i="106"/>
  <c r="P102" i="106"/>
  <c r="L103" i="106"/>
  <c r="P103" i="106"/>
  <c r="L104" i="106"/>
  <c r="P104" i="106"/>
  <c r="L105" i="106"/>
  <c r="P105" i="106"/>
  <c r="L106" i="106"/>
  <c r="P106" i="106"/>
  <c r="L107" i="106"/>
  <c r="P107" i="106"/>
  <c r="L108" i="106"/>
  <c r="P108" i="106"/>
  <c r="L109" i="106"/>
  <c r="P109" i="106"/>
  <c r="L110" i="106"/>
  <c r="P110" i="106"/>
  <c r="L111" i="106"/>
  <c r="P111" i="106"/>
  <c r="L112" i="106"/>
  <c r="P112" i="106"/>
  <c r="L113" i="106"/>
  <c r="P113" i="106"/>
  <c r="L114" i="106"/>
  <c r="P114" i="106"/>
  <c r="J115" i="106"/>
  <c r="V115" i="106"/>
  <c r="J116" i="106"/>
  <c r="V116" i="106"/>
  <c r="J117" i="106"/>
  <c r="V117" i="106"/>
  <c r="J118" i="106"/>
  <c r="V118" i="106"/>
  <c r="J119" i="106"/>
  <c r="V119" i="106"/>
  <c r="J120" i="106"/>
  <c r="V120" i="106"/>
  <c r="L121" i="106"/>
  <c r="P121" i="106"/>
  <c r="L122" i="106"/>
  <c r="P122" i="106"/>
  <c r="J123" i="106"/>
  <c r="V123" i="106"/>
  <c r="J124" i="106"/>
  <c r="V124" i="106"/>
  <c r="J125" i="106"/>
  <c r="V125" i="106"/>
  <c r="V126" i="106"/>
  <c r="N126" i="106"/>
  <c r="J128" i="106"/>
  <c r="L128" i="106"/>
  <c r="P73" i="106"/>
  <c r="L74" i="106"/>
  <c r="L76" i="106"/>
  <c r="P77" i="106"/>
  <c r="N78" i="106"/>
  <c r="N79" i="106"/>
  <c r="N80" i="106"/>
  <c r="N81" i="106"/>
  <c r="N82" i="106"/>
  <c r="N83" i="106"/>
  <c r="N84" i="106"/>
  <c r="N85" i="106"/>
  <c r="N86" i="106"/>
  <c r="N87" i="106"/>
  <c r="N88" i="106"/>
  <c r="N89" i="106"/>
  <c r="N90" i="106"/>
  <c r="N91" i="106"/>
  <c r="N92" i="106"/>
  <c r="N93" i="106"/>
  <c r="N94" i="106"/>
  <c r="N95" i="106"/>
  <c r="N96" i="106"/>
  <c r="N97" i="106"/>
  <c r="N98" i="106"/>
  <c r="N99" i="106"/>
  <c r="N100" i="106"/>
  <c r="N101" i="106"/>
  <c r="N102" i="106"/>
  <c r="N103" i="106"/>
  <c r="N104" i="106"/>
  <c r="N105" i="106"/>
  <c r="N106" i="106"/>
  <c r="N107" i="106"/>
  <c r="N108" i="106"/>
  <c r="N109" i="106"/>
  <c r="N110" i="106"/>
  <c r="N111" i="106"/>
  <c r="T111" i="106"/>
  <c r="N112" i="106"/>
  <c r="N113" i="106"/>
  <c r="T113" i="106"/>
  <c r="N114" i="106"/>
  <c r="L115" i="106"/>
  <c r="L117" i="106"/>
  <c r="L119" i="106"/>
  <c r="N121" i="106"/>
  <c r="N122" i="106"/>
  <c r="L123" i="106"/>
  <c r="L126" i="106"/>
  <c r="P126" i="106"/>
  <c r="L127" i="106"/>
  <c r="P127" i="106"/>
  <c r="J129" i="106"/>
  <c r="V129" i="106"/>
  <c r="J130" i="106"/>
  <c r="V130" i="106"/>
  <c r="J131" i="106"/>
  <c r="N131" i="106"/>
  <c r="L132" i="106"/>
  <c r="P132" i="106"/>
  <c r="L133" i="106"/>
  <c r="P133" i="106"/>
  <c r="L134" i="106"/>
  <c r="P134" i="106"/>
  <c r="J135" i="106"/>
  <c r="L136" i="106"/>
  <c r="P136" i="106"/>
  <c r="J137" i="106"/>
  <c r="V137" i="106"/>
  <c r="J138" i="106"/>
  <c r="V138" i="106"/>
  <c r="J139" i="106"/>
  <c r="N139" i="106"/>
  <c r="L140" i="106"/>
  <c r="P140" i="106"/>
  <c r="L141" i="106"/>
  <c r="P141" i="106"/>
  <c r="J142" i="106"/>
  <c r="V142" i="106"/>
  <c r="J143" i="106"/>
  <c r="V143" i="106"/>
  <c r="J144" i="106"/>
  <c r="V144" i="106"/>
  <c r="J145" i="106"/>
  <c r="V145" i="106"/>
  <c r="J146" i="106"/>
  <c r="V146" i="106"/>
  <c r="J147" i="106"/>
  <c r="V147" i="106"/>
  <c r="J148" i="106"/>
  <c r="V148" i="106"/>
  <c r="J149" i="106"/>
  <c r="V149" i="106"/>
  <c r="L150" i="106"/>
  <c r="P150" i="106"/>
  <c r="L151" i="106"/>
  <c r="P151" i="106"/>
  <c r="L152" i="106"/>
  <c r="P152" i="106"/>
  <c r="J153" i="106"/>
  <c r="N153" i="106"/>
  <c r="V153" i="106"/>
  <c r="V156" i="106"/>
  <c r="N156" i="106"/>
  <c r="N132" i="106"/>
  <c r="N133" i="106"/>
  <c r="N134" i="106"/>
  <c r="P135" i="106"/>
  <c r="N136" i="106"/>
  <c r="N140" i="106"/>
  <c r="N141" i="106"/>
  <c r="P142" i="106"/>
  <c r="P144" i="106"/>
  <c r="P146" i="106"/>
  <c r="P148" i="106"/>
  <c r="N150" i="106"/>
  <c r="N151" i="106"/>
  <c r="N152" i="106"/>
  <c r="J154" i="106"/>
  <c r="L154" i="106"/>
  <c r="N157" i="106"/>
  <c r="N158" i="106"/>
  <c r="N160" i="106"/>
  <c r="N161" i="106"/>
  <c r="N162" i="106"/>
  <c r="N163" i="106"/>
  <c r="N168" i="106"/>
  <c r="N175" i="106"/>
  <c r="J176" i="106"/>
  <c r="P176" i="106"/>
  <c r="J177" i="106"/>
  <c r="V177" i="106"/>
  <c r="J178" i="106"/>
  <c r="L178" i="106"/>
  <c r="J179" i="106"/>
  <c r="J180" i="106"/>
  <c r="L180" i="106"/>
  <c r="L181" i="106"/>
  <c r="P181" i="106"/>
  <c r="L182" i="106"/>
  <c r="P182" i="106"/>
  <c r="L183" i="106"/>
  <c r="P183" i="106"/>
  <c r="V184" i="106"/>
  <c r="N184" i="106"/>
  <c r="L155" i="106"/>
  <c r="P155" i="106"/>
  <c r="T155" i="106"/>
  <c r="L156" i="106"/>
  <c r="P156" i="106"/>
  <c r="L157" i="106"/>
  <c r="P157" i="106"/>
  <c r="L158" i="106"/>
  <c r="P158" i="106"/>
  <c r="J159" i="106"/>
  <c r="L160" i="106"/>
  <c r="P160" i="106"/>
  <c r="L161" i="106"/>
  <c r="P161" i="106"/>
  <c r="L162" i="106"/>
  <c r="P162" i="106"/>
  <c r="L163" i="106"/>
  <c r="P163" i="106"/>
  <c r="J164" i="106"/>
  <c r="L164" i="106"/>
  <c r="J165" i="106"/>
  <c r="J166" i="106"/>
  <c r="L166" i="106"/>
  <c r="J167" i="106"/>
  <c r="L168" i="106"/>
  <c r="P168" i="106"/>
  <c r="J169" i="106"/>
  <c r="J170" i="106"/>
  <c r="L170" i="106"/>
  <c r="J171" i="106"/>
  <c r="L171" i="106"/>
  <c r="J172" i="106"/>
  <c r="N172" i="106"/>
  <c r="J173" i="106"/>
  <c r="J174" i="106"/>
  <c r="N174" i="106"/>
  <c r="L175" i="106"/>
  <c r="P175" i="106"/>
  <c r="L177" i="106"/>
  <c r="L179" i="106"/>
  <c r="P179" i="106"/>
  <c r="N181" i="106"/>
  <c r="N182" i="106"/>
  <c r="N183" i="106"/>
  <c r="J185" i="106"/>
  <c r="N185" i="106"/>
  <c r="J186" i="106"/>
  <c r="V186" i="106"/>
  <c r="J187" i="106"/>
  <c r="N187" i="106"/>
  <c r="J188" i="106"/>
  <c r="V188" i="106"/>
  <c r="J189" i="106"/>
  <c r="N189" i="106"/>
  <c r="J190" i="106"/>
  <c r="V190" i="106"/>
  <c r="L191" i="106"/>
  <c r="P191" i="106"/>
  <c r="J192" i="106"/>
  <c r="V192" i="106"/>
  <c r="J193" i="106"/>
  <c r="V193" i="106"/>
  <c r="J194" i="106"/>
  <c r="V194" i="106"/>
  <c r="L195" i="106"/>
  <c r="P195" i="106"/>
  <c r="J196" i="106"/>
  <c r="N196" i="106"/>
  <c r="J197" i="106"/>
  <c r="V197" i="106"/>
  <c r="J198" i="106"/>
  <c r="N198" i="106"/>
  <c r="J199" i="106"/>
  <c r="V199" i="106"/>
  <c r="J200" i="106"/>
  <c r="N200" i="106"/>
  <c r="V201" i="106"/>
  <c r="L184" i="106"/>
  <c r="P184" i="106"/>
  <c r="N191" i="106"/>
  <c r="P192" i="106"/>
  <c r="P193" i="106"/>
  <c r="P194" i="106"/>
  <c r="N195" i="106"/>
  <c r="L196" i="106"/>
  <c r="P200" i="106"/>
  <c r="L201" i="106"/>
  <c r="P201" i="106"/>
  <c r="T121" i="106"/>
  <c r="P76" i="106"/>
  <c r="P74" i="106"/>
  <c r="P39" i="106"/>
  <c r="P33" i="106"/>
  <c r="L29" i="106"/>
  <c r="L24" i="106"/>
  <c r="R191" i="106"/>
  <c r="L145" i="106"/>
  <c r="P143" i="106"/>
  <c r="L137" i="106"/>
  <c r="T133" i="106"/>
  <c r="P131" i="106"/>
  <c r="L124" i="106"/>
  <c r="L120" i="106"/>
  <c r="L118" i="106"/>
  <c r="L116" i="106"/>
  <c r="R114" i="106"/>
  <c r="R112" i="106"/>
  <c r="V70" i="106"/>
  <c r="V68" i="106"/>
  <c r="V66" i="106"/>
  <c r="V64" i="106"/>
  <c r="T60" i="106"/>
  <c r="T58" i="106"/>
  <c r="T55" i="106"/>
  <c r="R113" i="106"/>
  <c r="R111" i="106"/>
  <c r="L198" i="106"/>
  <c r="L194" i="106"/>
  <c r="L193" i="106"/>
  <c r="L192" i="106"/>
  <c r="N194" i="106"/>
  <c r="N193" i="106"/>
  <c r="N192" i="106"/>
  <c r="P149" i="106"/>
  <c r="L147" i="106"/>
  <c r="P145" i="106"/>
  <c r="L143" i="106"/>
  <c r="T141" i="106"/>
  <c r="P139" i="106"/>
  <c r="L129" i="106"/>
  <c r="P153" i="106"/>
  <c r="T126" i="106"/>
  <c r="T114" i="106"/>
  <c r="T112" i="106"/>
  <c r="P75" i="106"/>
  <c r="L54" i="106"/>
  <c r="P41" i="106"/>
  <c r="P37" i="106"/>
  <c r="R152" i="106"/>
  <c r="L188" i="106"/>
  <c r="P178" i="106"/>
  <c r="N170" i="106"/>
  <c r="N166" i="106"/>
  <c r="T151" i="106"/>
  <c r="L146" i="106"/>
  <c r="L144" i="106"/>
  <c r="L142" i="106"/>
  <c r="T140" i="106"/>
  <c r="P138" i="106"/>
  <c r="T134" i="106"/>
  <c r="T132" i="106"/>
  <c r="P130" i="106"/>
  <c r="P124" i="106"/>
  <c r="P123" i="106"/>
  <c r="T122" i="106"/>
  <c r="P120" i="106"/>
  <c r="P119" i="106"/>
  <c r="P118" i="106"/>
  <c r="P117" i="106"/>
  <c r="P116" i="106"/>
  <c r="P115" i="106"/>
  <c r="L77" i="106"/>
  <c r="L75" i="106"/>
  <c r="L73" i="106"/>
  <c r="N124" i="106"/>
  <c r="N123" i="106"/>
  <c r="R123" i="106"/>
  <c r="N120" i="106"/>
  <c r="N119" i="106"/>
  <c r="N118" i="106"/>
  <c r="N117" i="106"/>
  <c r="N116" i="106"/>
  <c r="N115" i="106"/>
  <c r="T62" i="106"/>
  <c r="T61" i="106"/>
  <c r="P70" i="106"/>
  <c r="P68" i="106"/>
  <c r="P66" i="106"/>
  <c r="P64" i="106"/>
  <c r="R59" i="106"/>
  <c r="R57" i="106"/>
  <c r="P54" i="106"/>
  <c r="P52" i="106"/>
  <c r="R51" i="106"/>
  <c r="R49" i="106"/>
  <c r="R47" i="106"/>
  <c r="R45" i="106"/>
  <c r="L43" i="106"/>
  <c r="L41" i="106"/>
  <c r="L39" i="106"/>
  <c r="L37" i="106"/>
  <c r="L35" i="106"/>
  <c r="L33" i="106"/>
  <c r="P29" i="106"/>
  <c r="T28" i="106"/>
  <c r="P26" i="106"/>
  <c r="P24" i="106"/>
  <c r="R23" i="106"/>
  <c r="J232" i="106"/>
  <c r="N22" i="106"/>
  <c r="N127" i="106"/>
  <c r="T157" i="106"/>
  <c r="T127" i="106"/>
  <c r="R124" i="106"/>
  <c r="T201" i="106"/>
  <c r="L190" i="106"/>
  <c r="L186" i="106"/>
  <c r="T191" i="106"/>
  <c r="T182" i="106"/>
  <c r="P180" i="106"/>
  <c r="T175" i="106"/>
  <c r="T161" i="106"/>
  <c r="R157" i="106"/>
  <c r="T163" i="106"/>
  <c r="T152" i="106"/>
  <c r="T150" i="106"/>
  <c r="L149" i="106"/>
  <c r="L148" i="106"/>
  <c r="P147" i="106"/>
  <c r="N149" i="106"/>
  <c r="N148" i="106"/>
  <c r="N147" i="106"/>
  <c r="N146" i="106"/>
  <c r="R146" i="106"/>
  <c r="N145" i="106"/>
  <c r="T145" i="106"/>
  <c r="N144" i="106"/>
  <c r="N143" i="106"/>
  <c r="T143" i="106"/>
  <c r="N142" i="106"/>
  <c r="R142" i="106"/>
  <c r="T119" i="106"/>
  <c r="R117" i="106"/>
  <c r="N72" i="106"/>
  <c r="R31" i="106"/>
  <c r="R28" i="106"/>
  <c r="R147" i="106"/>
  <c r="R141" i="106"/>
  <c r="R140" i="106"/>
  <c r="R133" i="106"/>
  <c r="R132" i="106"/>
  <c r="V72" i="106"/>
  <c r="P71" i="106"/>
  <c r="P63" i="106"/>
  <c r="P228" i="106"/>
  <c r="T192" i="106"/>
  <c r="V139" i="106"/>
  <c r="V131" i="106"/>
  <c r="T110" i="106"/>
  <c r="R110" i="106"/>
  <c r="T108" i="106"/>
  <c r="R108" i="106"/>
  <c r="T106" i="106"/>
  <c r="R106" i="106"/>
  <c r="T104" i="106"/>
  <c r="R104" i="106"/>
  <c r="T102" i="106"/>
  <c r="R102" i="106"/>
  <c r="T100" i="106"/>
  <c r="R100" i="106"/>
  <c r="T98" i="106"/>
  <c r="R98" i="106"/>
  <c r="T96" i="106"/>
  <c r="R96" i="106"/>
  <c r="T94" i="106"/>
  <c r="R94" i="106"/>
  <c r="T92" i="106"/>
  <c r="R92" i="106"/>
  <c r="T90" i="106"/>
  <c r="R90" i="106"/>
  <c r="T88" i="106"/>
  <c r="R88" i="106"/>
  <c r="T86" i="106"/>
  <c r="R86" i="106"/>
  <c r="T84" i="106"/>
  <c r="R84" i="106"/>
  <c r="T82" i="106"/>
  <c r="R82" i="106"/>
  <c r="T80" i="106"/>
  <c r="R80" i="106"/>
  <c r="T194" i="106"/>
  <c r="L174" i="106"/>
  <c r="R201" i="106"/>
  <c r="P199" i="106"/>
  <c r="P197" i="106"/>
  <c r="T195" i="106"/>
  <c r="R194" i="106"/>
  <c r="R193" i="106"/>
  <c r="R192" i="106"/>
  <c r="P189" i="106"/>
  <c r="P187" i="106"/>
  <c r="P185" i="106"/>
  <c r="R184" i="106"/>
  <c r="R183" i="106"/>
  <c r="T181" i="106"/>
  <c r="N164" i="106"/>
  <c r="R163" i="106"/>
  <c r="L172" i="106"/>
  <c r="V154" i="106"/>
  <c r="R151" i="106"/>
  <c r="R150" i="106"/>
  <c r="R149" i="106"/>
  <c r="R145" i="106"/>
  <c r="L139" i="106"/>
  <c r="R139" i="106"/>
  <c r="L138" i="106"/>
  <c r="P137" i="106"/>
  <c r="T136" i="106"/>
  <c r="R134" i="106"/>
  <c r="L131" i="106"/>
  <c r="R131" i="106"/>
  <c r="L130" i="106"/>
  <c r="P129" i="106"/>
  <c r="U151" i="106"/>
  <c r="W151" i="106"/>
  <c r="X151" i="106"/>
  <c r="N138" i="106"/>
  <c r="N137" i="106"/>
  <c r="T137" i="106"/>
  <c r="N130" i="106"/>
  <c r="N129" i="106"/>
  <c r="T123" i="106"/>
  <c r="R122" i="106"/>
  <c r="R121" i="106"/>
  <c r="R120" i="106"/>
  <c r="R119" i="106"/>
  <c r="T117" i="106"/>
  <c r="R116" i="106"/>
  <c r="R115" i="106"/>
  <c r="T109" i="106"/>
  <c r="R109" i="106"/>
  <c r="T107" i="106"/>
  <c r="R107" i="106"/>
  <c r="T105" i="106"/>
  <c r="R105" i="106"/>
  <c r="T103" i="106"/>
  <c r="R103" i="106"/>
  <c r="T101" i="106"/>
  <c r="R101" i="106"/>
  <c r="T99" i="106"/>
  <c r="R99" i="106"/>
  <c r="T97" i="106"/>
  <c r="R97" i="106"/>
  <c r="T95" i="106"/>
  <c r="R95" i="106"/>
  <c r="T93" i="106"/>
  <c r="R93" i="106"/>
  <c r="T91" i="106"/>
  <c r="R91" i="106"/>
  <c r="T89" i="106"/>
  <c r="R89" i="106"/>
  <c r="T87" i="106"/>
  <c r="R87" i="106"/>
  <c r="T85" i="106"/>
  <c r="R85" i="106"/>
  <c r="T83" i="106"/>
  <c r="R83" i="106"/>
  <c r="T81" i="106"/>
  <c r="R81" i="106"/>
  <c r="T79" i="106"/>
  <c r="R79" i="106"/>
  <c r="N77" i="106"/>
  <c r="T77" i="106"/>
  <c r="N76" i="106"/>
  <c r="R76" i="106"/>
  <c r="N75" i="106"/>
  <c r="T75" i="106"/>
  <c r="N74" i="106"/>
  <c r="T74" i="106"/>
  <c r="N73" i="106"/>
  <c r="T73" i="106"/>
  <c r="R62" i="106"/>
  <c r="R61" i="106"/>
  <c r="R55" i="106"/>
  <c r="U55" i="106"/>
  <c r="W55" i="106"/>
  <c r="R43" i="106"/>
  <c r="R41" i="106"/>
  <c r="R39" i="106"/>
  <c r="R37" i="106"/>
  <c r="R35" i="106"/>
  <c r="R33" i="106"/>
  <c r="T22" i="106"/>
  <c r="I48" i="53"/>
  <c r="N54" i="106"/>
  <c r="T54" i="106"/>
  <c r="N53" i="106"/>
  <c r="R53" i="106"/>
  <c r="N52" i="106"/>
  <c r="T52" i="106"/>
  <c r="N26" i="106"/>
  <c r="T26" i="106"/>
  <c r="N25" i="106"/>
  <c r="R25" i="106"/>
  <c r="N24" i="106"/>
  <c r="T24" i="106"/>
  <c r="V155" i="106"/>
  <c r="T53" i="106"/>
  <c r="R52" i="106"/>
  <c r="R24" i="106"/>
  <c r="T43" i="106"/>
  <c r="T41" i="106"/>
  <c r="T39" i="106"/>
  <c r="T37" i="106"/>
  <c r="T35" i="106"/>
  <c r="T33" i="106"/>
  <c r="U194" i="106"/>
  <c r="W194" i="106"/>
  <c r="U192" i="106"/>
  <c r="W192" i="106"/>
  <c r="U191" i="106"/>
  <c r="W191" i="106"/>
  <c r="V200" i="106"/>
  <c r="V198" i="106"/>
  <c r="V196" i="106"/>
  <c r="V189" i="106"/>
  <c r="V187" i="106"/>
  <c r="V185" i="106"/>
  <c r="T183" i="106"/>
  <c r="U183" i="106"/>
  <c r="W183" i="106"/>
  <c r="X183" i="106"/>
  <c r="L173" i="106"/>
  <c r="L169" i="106"/>
  <c r="T158" i="106"/>
  <c r="U163" i="106"/>
  <c r="W163" i="106"/>
  <c r="T156" i="106"/>
  <c r="U150" i="106"/>
  <c r="W150" i="106"/>
  <c r="T138" i="106"/>
  <c r="U133" i="106"/>
  <c r="W133" i="106"/>
  <c r="X133" i="106"/>
  <c r="U132" i="106"/>
  <c r="W132" i="106"/>
  <c r="R127" i="106"/>
  <c r="U127" i="106"/>
  <c r="W127" i="106"/>
  <c r="U201" i="106"/>
  <c r="W201" i="106"/>
  <c r="T193" i="106"/>
  <c r="U193" i="106"/>
  <c r="W193" i="106"/>
  <c r="X193" i="106"/>
  <c r="T184" i="106"/>
  <c r="L200" i="106"/>
  <c r="T200" i="106"/>
  <c r="L199" i="106"/>
  <c r="P198" i="106"/>
  <c r="R198" i="106"/>
  <c r="L197" i="106"/>
  <c r="P196" i="106"/>
  <c r="T196" i="106"/>
  <c r="R195" i="106"/>
  <c r="U195" i="106"/>
  <c r="W195" i="106"/>
  <c r="P190" i="106"/>
  <c r="L189" i="106"/>
  <c r="R189" i="106"/>
  <c r="P188" i="106"/>
  <c r="L187" i="106"/>
  <c r="R187" i="106"/>
  <c r="P186" i="106"/>
  <c r="L185" i="106"/>
  <c r="R185" i="106"/>
  <c r="N199" i="106"/>
  <c r="N197" i="106"/>
  <c r="N190" i="106"/>
  <c r="N188" i="106"/>
  <c r="N186" i="106"/>
  <c r="T186" i="106"/>
  <c r="U184" i="106"/>
  <c r="W184" i="106"/>
  <c r="X184" i="106"/>
  <c r="R182" i="106"/>
  <c r="U182" i="106"/>
  <c r="W182" i="106"/>
  <c r="X182" i="106"/>
  <c r="R181" i="106"/>
  <c r="U181" i="106"/>
  <c r="W181" i="106"/>
  <c r="P173" i="106"/>
  <c r="V173" i="106"/>
  <c r="N173" i="106"/>
  <c r="T173" i="106"/>
  <c r="P171" i="106"/>
  <c r="V171" i="106"/>
  <c r="N171" i="106"/>
  <c r="R171" i="106"/>
  <c r="P169" i="106"/>
  <c r="V169" i="106"/>
  <c r="N169" i="106"/>
  <c r="P167" i="106"/>
  <c r="V167" i="106"/>
  <c r="N167" i="106"/>
  <c r="P165" i="106"/>
  <c r="V165" i="106"/>
  <c r="N165" i="106"/>
  <c r="R161" i="106"/>
  <c r="U161" i="106"/>
  <c r="W161" i="106"/>
  <c r="X161" i="106"/>
  <c r="R160" i="106"/>
  <c r="P159" i="106"/>
  <c r="V159" i="106"/>
  <c r="N159" i="106"/>
  <c r="R155" i="106"/>
  <c r="U155" i="106"/>
  <c r="W155" i="106"/>
  <c r="V180" i="106"/>
  <c r="N180" i="106"/>
  <c r="T180" i="106"/>
  <c r="N179" i="106"/>
  <c r="T179" i="106"/>
  <c r="V178" i="106"/>
  <c r="N178" i="106"/>
  <c r="T178" i="106"/>
  <c r="N177" i="106"/>
  <c r="P177" i="106"/>
  <c r="V176" i="106"/>
  <c r="N176" i="106"/>
  <c r="L176" i="106"/>
  <c r="T169" i="106"/>
  <c r="T168" i="106"/>
  <c r="L167" i="106"/>
  <c r="R167" i="106"/>
  <c r="L165" i="106"/>
  <c r="T162" i="106"/>
  <c r="T160" i="106"/>
  <c r="L159" i="106"/>
  <c r="R159" i="106"/>
  <c r="V179" i="106"/>
  <c r="R175" i="106"/>
  <c r="U175" i="106"/>
  <c r="W175" i="106"/>
  <c r="N154" i="106"/>
  <c r="P154" i="106"/>
  <c r="R148" i="106"/>
  <c r="R144" i="106"/>
  <c r="R138" i="106"/>
  <c r="R130" i="106"/>
  <c r="U157" i="106"/>
  <c r="W157" i="106"/>
  <c r="X157" i="106"/>
  <c r="U152" i="106"/>
  <c r="W152" i="106"/>
  <c r="X152" i="106"/>
  <c r="T148" i="106"/>
  <c r="T146" i="106"/>
  <c r="U145" i="106"/>
  <c r="W145" i="106"/>
  <c r="X145" i="106"/>
  <c r="T144" i="106"/>
  <c r="T142" i="106"/>
  <c r="U141" i="106"/>
  <c r="W141" i="106"/>
  <c r="U140" i="106"/>
  <c r="W140" i="106"/>
  <c r="U138" i="106"/>
  <c r="W138" i="106"/>
  <c r="X138" i="106"/>
  <c r="R136" i="106"/>
  <c r="U136" i="106"/>
  <c r="W136" i="106"/>
  <c r="D10" i="103"/>
  <c r="V135" i="106"/>
  <c r="N135" i="106"/>
  <c r="L135" i="106"/>
  <c r="U134" i="106"/>
  <c r="W134" i="106"/>
  <c r="T130" i="106"/>
  <c r="R156" i="106"/>
  <c r="U156" i="106"/>
  <c r="W156" i="106"/>
  <c r="X156" i="106"/>
  <c r="U122" i="106"/>
  <c r="W122" i="106"/>
  <c r="U121" i="106"/>
  <c r="W121" i="106"/>
  <c r="U114" i="106"/>
  <c r="W114" i="106"/>
  <c r="U113" i="106"/>
  <c r="W113" i="106"/>
  <c r="X113" i="106"/>
  <c r="U112" i="106"/>
  <c r="W112" i="106"/>
  <c r="X112" i="106"/>
  <c r="U111" i="106"/>
  <c r="W111" i="106"/>
  <c r="X111" i="106"/>
  <c r="U110" i="106"/>
  <c r="W110" i="106"/>
  <c r="X110" i="106"/>
  <c r="U109" i="106"/>
  <c r="W109" i="106"/>
  <c r="U108" i="106"/>
  <c r="W108" i="106"/>
  <c r="X108" i="106"/>
  <c r="U107" i="106"/>
  <c r="W107" i="106"/>
  <c r="X107" i="106"/>
  <c r="U106" i="106"/>
  <c r="W106" i="106"/>
  <c r="X106" i="106"/>
  <c r="U104" i="106"/>
  <c r="W104" i="106"/>
  <c r="X104" i="106"/>
  <c r="U103" i="106"/>
  <c r="W103" i="106"/>
  <c r="X103" i="106"/>
  <c r="U102" i="106"/>
  <c r="W102" i="106"/>
  <c r="X102" i="106"/>
  <c r="U100" i="106"/>
  <c r="W100" i="106"/>
  <c r="X100" i="106"/>
  <c r="U99" i="106"/>
  <c r="W99" i="106"/>
  <c r="X99" i="106"/>
  <c r="U98" i="106"/>
  <c r="W98" i="106"/>
  <c r="X98" i="106"/>
  <c r="U96" i="106"/>
  <c r="W96" i="106"/>
  <c r="X96" i="106"/>
  <c r="U95" i="106"/>
  <c r="W95" i="106"/>
  <c r="U94" i="106"/>
  <c r="W94" i="106"/>
  <c r="X94" i="106"/>
  <c r="U92" i="106"/>
  <c r="W92" i="106"/>
  <c r="X92" i="106"/>
  <c r="U91" i="106"/>
  <c r="W91" i="106"/>
  <c r="X91" i="106"/>
  <c r="U90" i="106"/>
  <c r="W90" i="106"/>
  <c r="X90" i="106"/>
  <c r="U88" i="106"/>
  <c r="W88" i="106"/>
  <c r="X88" i="106"/>
  <c r="U87" i="106"/>
  <c r="W87" i="106"/>
  <c r="X87" i="106"/>
  <c r="U86" i="106"/>
  <c r="W86" i="106"/>
  <c r="X86" i="106"/>
  <c r="U84" i="106"/>
  <c r="W84" i="106"/>
  <c r="X84" i="106"/>
  <c r="U83" i="106"/>
  <c r="W83" i="106"/>
  <c r="X83" i="106"/>
  <c r="U82" i="106"/>
  <c r="W82" i="106"/>
  <c r="X82" i="106"/>
  <c r="U80" i="106"/>
  <c r="W80" i="106"/>
  <c r="X80" i="106"/>
  <c r="U79" i="106"/>
  <c r="W79" i="106"/>
  <c r="X79" i="106"/>
  <c r="U28" i="106"/>
  <c r="W28" i="106"/>
  <c r="L226" i="106"/>
  <c r="P128" i="106"/>
  <c r="V128" i="106"/>
  <c r="L125" i="106"/>
  <c r="U119" i="106"/>
  <c r="W119" i="106"/>
  <c r="X119" i="106"/>
  <c r="U117" i="106"/>
  <c r="W117" i="106"/>
  <c r="X117" i="106"/>
  <c r="R126" i="106"/>
  <c r="U126" i="106"/>
  <c r="W126" i="106"/>
  <c r="U105" i="106"/>
  <c r="W105" i="106"/>
  <c r="X105" i="106"/>
  <c r="U101" i="106"/>
  <c r="W101" i="106"/>
  <c r="X101" i="106"/>
  <c r="U97" i="106"/>
  <c r="W97" i="106"/>
  <c r="X97" i="106"/>
  <c r="U93" i="106"/>
  <c r="W93" i="106"/>
  <c r="X93" i="106"/>
  <c r="U89" i="106"/>
  <c r="W89" i="106"/>
  <c r="X89" i="106"/>
  <c r="U85" i="106"/>
  <c r="W85" i="106"/>
  <c r="X85" i="106"/>
  <c r="U81" i="106"/>
  <c r="W81" i="106"/>
  <c r="X81" i="106"/>
  <c r="P231" i="106"/>
  <c r="J230" i="106"/>
  <c r="V226" i="106"/>
  <c r="P226" i="106"/>
  <c r="Y226" i="106"/>
  <c r="H225" i="106"/>
  <c r="H233" i="106"/>
  <c r="L69" i="106"/>
  <c r="L68" i="106"/>
  <c r="L65" i="106"/>
  <c r="L64" i="106"/>
  <c r="U62" i="106"/>
  <c r="W62" i="106"/>
  <c r="X62" i="106"/>
  <c r="T59" i="106"/>
  <c r="U59" i="106"/>
  <c r="W59" i="106"/>
  <c r="X59" i="106"/>
  <c r="T57" i="106"/>
  <c r="U57" i="106"/>
  <c r="W57" i="106"/>
  <c r="X57" i="106"/>
  <c r="U52" i="106"/>
  <c r="W52" i="106"/>
  <c r="X52" i="106"/>
  <c r="T51" i="106"/>
  <c r="U51" i="106"/>
  <c r="W51" i="106"/>
  <c r="T49" i="106"/>
  <c r="U49" i="106"/>
  <c r="W49" i="106"/>
  <c r="X49" i="106"/>
  <c r="T47" i="106"/>
  <c r="U47" i="106"/>
  <c r="W47" i="106"/>
  <c r="X47" i="106"/>
  <c r="T45" i="106"/>
  <c r="U45" i="106"/>
  <c r="W45" i="106"/>
  <c r="U31" i="106"/>
  <c r="W31" i="106"/>
  <c r="T30" i="106"/>
  <c r="U30" i="106"/>
  <c r="W30" i="106"/>
  <c r="N231" i="106"/>
  <c r="U24" i="106"/>
  <c r="W24" i="106"/>
  <c r="X24" i="106"/>
  <c r="R22" i="106"/>
  <c r="U22" i="106"/>
  <c r="W22" i="106"/>
  <c r="X22" i="106"/>
  <c r="T21" i="106"/>
  <c r="L232" i="106"/>
  <c r="J227" i="106"/>
  <c r="N19" i="106"/>
  <c r="T19" i="106"/>
  <c r="V20" i="106"/>
  <c r="V227" i="106"/>
  <c r="P20" i="106"/>
  <c r="P227" i="106"/>
  <c r="T68" i="106"/>
  <c r="T64" i="106"/>
  <c r="V43" i="106"/>
  <c r="V41" i="106"/>
  <c r="V39" i="106"/>
  <c r="V37" i="106"/>
  <c r="V230" i="106"/>
  <c r="V35" i="106"/>
  <c r="V33" i="106"/>
  <c r="V231" i="106"/>
  <c r="V174" i="106"/>
  <c r="P174" i="106"/>
  <c r="R174" i="106"/>
  <c r="V172" i="106"/>
  <c r="P172" i="106"/>
  <c r="R172" i="106"/>
  <c r="V170" i="106"/>
  <c r="P170" i="106"/>
  <c r="R170" i="106"/>
  <c r="R168" i="106"/>
  <c r="U168" i="106"/>
  <c r="W168" i="106"/>
  <c r="V166" i="106"/>
  <c r="P166" i="106"/>
  <c r="T166" i="106"/>
  <c r="V164" i="106"/>
  <c r="V229" i="106"/>
  <c r="P164" i="106"/>
  <c r="R162" i="106"/>
  <c r="U162" i="106"/>
  <c r="W162" i="106"/>
  <c r="X162" i="106"/>
  <c r="R158" i="106"/>
  <c r="U158" i="106"/>
  <c r="W158" i="106"/>
  <c r="T153" i="106"/>
  <c r="L153" i="106"/>
  <c r="R153" i="106"/>
  <c r="R78" i="106"/>
  <c r="J229" i="106"/>
  <c r="N128" i="106"/>
  <c r="N229" i="106"/>
  <c r="T128" i="106"/>
  <c r="P125" i="106"/>
  <c r="N125" i="106"/>
  <c r="T125" i="106"/>
  <c r="T78" i="106"/>
  <c r="L229" i="106"/>
  <c r="U61" i="106"/>
  <c r="W61" i="106"/>
  <c r="X61" i="106"/>
  <c r="R72" i="106"/>
  <c r="L72" i="106"/>
  <c r="R60" i="106"/>
  <c r="U60" i="106"/>
  <c r="W60" i="106"/>
  <c r="X60" i="106"/>
  <c r="R58" i="106"/>
  <c r="U58" i="106"/>
  <c r="W58" i="106"/>
  <c r="X58" i="106"/>
  <c r="R50" i="106"/>
  <c r="U50" i="106"/>
  <c r="W50" i="106"/>
  <c r="X50" i="106"/>
  <c r="R48" i="106"/>
  <c r="U48" i="106"/>
  <c r="W48" i="106"/>
  <c r="X48" i="106"/>
  <c r="R46" i="106"/>
  <c r="U46" i="106"/>
  <c r="W46" i="106"/>
  <c r="X46" i="106"/>
  <c r="T27" i="106"/>
  <c r="L231" i="106"/>
  <c r="R21" i="106"/>
  <c r="L71" i="106"/>
  <c r="T71" i="106"/>
  <c r="L70" i="106"/>
  <c r="R70" i="106"/>
  <c r="P69" i="106"/>
  <c r="N69" i="106"/>
  <c r="L67" i="106"/>
  <c r="T67" i="106"/>
  <c r="L66" i="106"/>
  <c r="T66" i="106"/>
  <c r="P65" i="106"/>
  <c r="P230" i="106"/>
  <c r="N65" i="106"/>
  <c r="J228" i="106"/>
  <c r="L63" i="106"/>
  <c r="T63" i="106"/>
  <c r="T228" i="106"/>
  <c r="N56" i="106"/>
  <c r="T56" i="106"/>
  <c r="N44" i="106"/>
  <c r="T44" i="106"/>
  <c r="U43" i="106"/>
  <c r="W43" i="106"/>
  <c r="X43" i="106"/>
  <c r="N42" i="106"/>
  <c r="T42" i="106"/>
  <c r="U41" i="106"/>
  <c r="W41" i="106"/>
  <c r="X41" i="106"/>
  <c r="N40" i="106"/>
  <c r="T40" i="106"/>
  <c r="U39" i="106"/>
  <c r="W39" i="106"/>
  <c r="X39" i="106"/>
  <c r="N38" i="106"/>
  <c r="T38" i="106"/>
  <c r="U37" i="106"/>
  <c r="W37" i="106"/>
  <c r="X37" i="106"/>
  <c r="N36" i="106"/>
  <c r="T36" i="106"/>
  <c r="U35" i="106"/>
  <c r="W35" i="106"/>
  <c r="X35" i="106"/>
  <c r="N34" i="106"/>
  <c r="T34" i="106"/>
  <c r="U33" i="106"/>
  <c r="W33" i="106"/>
  <c r="N32" i="106"/>
  <c r="T32" i="106"/>
  <c r="N29" i="106"/>
  <c r="T29" i="106"/>
  <c r="R27" i="106"/>
  <c r="J231" i="106"/>
  <c r="T23" i="106"/>
  <c r="V232" i="106"/>
  <c r="P232" i="106"/>
  <c r="N227" i="106"/>
  <c r="J226" i="106"/>
  <c r="J202" i="106"/>
  <c r="L20" i="106"/>
  <c r="R118" i="106"/>
  <c r="T120" i="106"/>
  <c r="U120" i="106"/>
  <c r="W120" i="106"/>
  <c r="T124" i="106"/>
  <c r="U124" i="106"/>
  <c r="W124" i="106"/>
  <c r="X124" i="106"/>
  <c r="U123" i="106"/>
  <c r="W123" i="106"/>
  <c r="X123" i="106"/>
  <c r="R165" i="106"/>
  <c r="T188" i="106"/>
  <c r="T171" i="106"/>
  <c r="R176" i="106"/>
  <c r="T199" i="106"/>
  <c r="T129" i="106"/>
  <c r="T147" i="106"/>
  <c r="U147" i="106"/>
  <c r="W147" i="106"/>
  <c r="X147" i="106"/>
  <c r="T149" i="106"/>
  <c r="U149" i="106"/>
  <c r="W149" i="106"/>
  <c r="T115" i="106"/>
  <c r="U115" i="106"/>
  <c r="W115" i="106"/>
  <c r="U146" i="106"/>
  <c r="W146" i="106"/>
  <c r="X146" i="106"/>
  <c r="T116" i="106"/>
  <c r="U116" i="106"/>
  <c r="W116" i="106"/>
  <c r="X116" i="106"/>
  <c r="T118" i="106"/>
  <c r="U118" i="106"/>
  <c r="W118" i="106"/>
  <c r="X118" i="106"/>
  <c r="L202" i="106"/>
  <c r="J233" i="106"/>
  <c r="R143" i="106"/>
  <c r="U143" i="106"/>
  <c r="W143" i="106"/>
  <c r="U142" i="106"/>
  <c r="W142" i="106"/>
  <c r="R190" i="106"/>
  <c r="T189" i="106"/>
  <c r="U189" i="106"/>
  <c r="W189" i="106"/>
  <c r="X189" i="106"/>
  <c r="T25" i="106"/>
  <c r="U25" i="106"/>
  <c r="W25" i="106"/>
  <c r="X25" i="106"/>
  <c r="U53" i="106"/>
  <c r="W53" i="106"/>
  <c r="X53" i="106"/>
  <c r="T65" i="106"/>
  <c r="T69" i="106"/>
  <c r="X95" i="106"/>
  <c r="D3" i="103"/>
  <c r="R135" i="106"/>
  <c r="X143" i="106"/>
  <c r="U148" i="106"/>
  <c r="W148" i="106"/>
  <c r="X148" i="106"/>
  <c r="R154" i="106"/>
  <c r="T176" i="106"/>
  <c r="U176" i="106"/>
  <c r="W176" i="106"/>
  <c r="X176" i="106"/>
  <c r="T185" i="106"/>
  <c r="U185" i="106"/>
  <c r="W185" i="106"/>
  <c r="X185" i="106"/>
  <c r="X150" i="106"/>
  <c r="R74" i="106"/>
  <c r="U74" i="106"/>
  <c r="W74" i="106"/>
  <c r="X74" i="106"/>
  <c r="T76" i="106"/>
  <c r="U76" i="106"/>
  <c r="W76" i="106"/>
  <c r="X76" i="106"/>
  <c r="R77" i="106"/>
  <c r="U77" i="106"/>
  <c r="W77" i="106"/>
  <c r="X77" i="106"/>
  <c r="R137" i="106"/>
  <c r="U137" i="106"/>
  <c r="W137" i="106"/>
  <c r="R231" i="106"/>
  <c r="R71" i="106"/>
  <c r="P229" i="106"/>
  <c r="P233" i="106"/>
  <c r="X126" i="106"/>
  <c r="X115" i="106"/>
  <c r="D5" i="103"/>
  <c r="X109" i="106"/>
  <c r="D4" i="103"/>
  <c r="X121" i="106"/>
  <c r="D6" i="103"/>
  <c r="X140" i="106"/>
  <c r="D12" i="103"/>
  <c r="X142" i="106"/>
  <c r="D13" i="103"/>
  <c r="U130" i="106"/>
  <c r="W130" i="106"/>
  <c r="U144" i="106"/>
  <c r="W144" i="106"/>
  <c r="X144" i="106"/>
  <c r="X175" i="106"/>
  <c r="X155" i="106"/>
  <c r="U160" i="106"/>
  <c r="W160" i="106"/>
  <c r="U171" i="106"/>
  <c r="W171" i="106"/>
  <c r="X171" i="106"/>
  <c r="X181" i="106"/>
  <c r="D23" i="103"/>
  <c r="T197" i="106"/>
  <c r="R199" i="106"/>
  <c r="X132" i="106"/>
  <c r="D9" i="103"/>
  <c r="X192" i="106"/>
  <c r="R26" i="106"/>
  <c r="U26" i="106"/>
  <c r="W26" i="106"/>
  <c r="X26" i="106"/>
  <c r="R54" i="106"/>
  <c r="U54" i="106"/>
  <c r="W54" i="106"/>
  <c r="R75" i="106"/>
  <c r="U75" i="106"/>
  <c r="W75" i="106"/>
  <c r="X75" i="106"/>
  <c r="T131" i="106"/>
  <c r="U131" i="106"/>
  <c r="W131" i="106"/>
  <c r="AB131" i="106"/>
  <c r="T139" i="106"/>
  <c r="U139" i="106"/>
  <c r="W139" i="106"/>
  <c r="R73" i="106"/>
  <c r="U73" i="106"/>
  <c r="W73" i="106"/>
  <c r="X73" i="106"/>
  <c r="R129" i="106"/>
  <c r="U129" i="106"/>
  <c r="W129" i="106"/>
  <c r="X129" i="106"/>
  <c r="X158" i="106"/>
  <c r="AB158" i="106"/>
  <c r="X168" i="106"/>
  <c r="AB168" i="106"/>
  <c r="X30" i="106"/>
  <c r="AB30" i="106"/>
  <c r="X45" i="106"/>
  <c r="X136" i="106"/>
  <c r="AB136" i="106"/>
  <c r="E10" i="103"/>
  <c r="X195" i="106"/>
  <c r="AB195" i="106"/>
  <c r="U199" i="106"/>
  <c r="W199" i="106"/>
  <c r="X199" i="106"/>
  <c r="T226" i="106"/>
  <c r="X51" i="106"/>
  <c r="AB51" i="106"/>
  <c r="X127" i="106"/>
  <c r="AB127" i="106"/>
  <c r="E7" i="103"/>
  <c r="T20" i="106"/>
  <c r="T227" i="106"/>
  <c r="J234" i="106"/>
  <c r="L230" i="106"/>
  <c r="X33" i="106"/>
  <c r="AB33" i="106"/>
  <c r="R63" i="106"/>
  <c r="R228" i="106"/>
  <c r="R67" i="106"/>
  <c r="U67" i="106"/>
  <c r="W67" i="106"/>
  <c r="X67" i="106"/>
  <c r="U71" i="106"/>
  <c r="W71" i="106"/>
  <c r="X71" i="106"/>
  <c r="U21" i="106"/>
  <c r="U23" i="106"/>
  <c r="R66" i="106"/>
  <c r="U66" i="106"/>
  <c r="W66" i="106"/>
  <c r="X66" i="106"/>
  <c r="U78" i="106"/>
  <c r="U153" i="106"/>
  <c r="W153" i="106"/>
  <c r="X153" i="106"/>
  <c r="T232" i="106"/>
  <c r="AB54" i="106"/>
  <c r="H236" i="106"/>
  <c r="H234" i="106"/>
  <c r="V225" i="106"/>
  <c r="V233" i="106"/>
  <c r="AB120" i="106"/>
  <c r="X120" i="106"/>
  <c r="R128" i="106"/>
  <c r="U128" i="106"/>
  <c r="W128" i="106"/>
  <c r="X128" i="106"/>
  <c r="X28" i="106"/>
  <c r="AB28" i="106"/>
  <c r="R32" i="106"/>
  <c r="U32" i="106"/>
  <c r="W32" i="106"/>
  <c r="R36" i="106"/>
  <c r="U36" i="106"/>
  <c r="W36" i="106"/>
  <c r="R40" i="106"/>
  <c r="U40" i="106"/>
  <c r="W40" i="106"/>
  <c r="X40" i="106"/>
  <c r="R44" i="106"/>
  <c r="U44" i="106"/>
  <c r="W44" i="106"/>
  <c r="X44" i="106"/>
  <c r="T70" i="106"/>
  <c r="X114" i="106"/>
  <c r="AB114" i="106"/>
  <c r="X122" i="106"/>
  <c r="AB122" i="106"/>
  <c r="E6" i="103"/>
  <c r="T135" i="106"/>
  <c r="U135" i="106"/>
  <c r="W135" i="106"/>
  <c r="T154" i="106"/>
  <c r="U154" i="106"/>
  <c r="W154" i="106"/>
  <c r="R164" i="106"/>
  <c r="R166" i="106"/>
  <c r="U166" i="106"/>
  <c r="W166" i="106"/>
  <c r="X166" i="106"/>
  <c r="T170" i="106"/>
  <c r="T172" i="106"/>
  <c r="U172" i="106"/>
  <c r="W172" i="106"/>
  <c r="X172" i="106"/>
  <c r="T174" i="106"/>
  <c r="U174" i="106"/>
  <c r="W174" i="106"/>
  <c r="T177" i="106"/>
  <c r="U170" i="106"/>
  <c r="W170" i="106"/>
  <c r="X170" i="106"/>
  <c r="T187" i="106"/>
  <c r="U187" i="106"/>
  <c r="W187" i="106"/>
  <c r="X187" i="106"/>
  <c r="X55" i="106"/>
  <c r="AB55" i="106"/>
  <c r="U27" i="106"/>
  <c r="X163" i="106"/>
  <c r="AB163" i="106"/>
  <c r="R169" i="106"/>
  <c r="X191" i="106"/>
  <c r="AB191" i="106"/>
  <c r="R196" i="106"/>
  <c r="U196" i="106"/>
  <c r="W196" i="106"/>
  <c r="R200" i="106"/>
  <c r="U200" i="106"/>
  <c r="W200" i="106"/>
  <c r="T165" i="106"/>
  <c r="U165" i="106"/>
  <c r="W165" i="106"/>
  <c r="X165" i="106"/>
  <c r="U169" i="106"/>
  <c r="W169" i="106"/>
  <c r="R178" i="106"/>
  <c r="U178" i="106"/>
  <c r="W178" i="106"/>
  <c r="X178" i="106"/>
  <c r="R180" i="106"/>
  <c r="U180" i="106"/>
  <c r="W180" i="106"/>
  <c r="T198" i="106"/>
  <c r="U198" i="106"/>
  <c r="W198" i="106"/>
  <c r="X198" i="106"/>
  <c r="T164" i="106"/>
  <c r="U164" i="106"/>
  <c r="W164" i="106"/>
  <c r="R186" i="106"/>
  <c r="U186" i="106"/>
  <c r="W186" i="106"/>
  <c r="X186" i="106"/>
  <c r="T190" i="106"/>
  <c r="U190" i="106"/>
  <c r="W190" i="106"/>
  <c r="AB194" i="106"/>
  <c r="X194" i="106"/>
  <c r="L227" i="106"/>
  <c r="R20" i="106"/>
  <c r="R227" i="106"/>
  <c r="L228" i="106"/>
  <c r="U63" i="106"/>
  <c r="N230" i="106"/>
  <c r="N226" i="106"/>
  <c r="N202" i="106"/>
  <c r="X31" i="106"/>
  <c r="AB31" i="106"/>
  <c r="R65" i="106"/>
  <c r="U65" i="106"/>
  <c r="W65" i="106"/>
  <c r="X65" i="106"/>
  <c r="R69" i="106"/>
  <c r="U69" i="106"/>
  <c r="W69" i="106"/>
  <c r="X69" i="106"/>
  <c r="P202" i="106"/>
  <c r="V202" i="106"/>
  <c r="N232" i="106"/>
  <c r="R125" i="106"/>
  <c r="U125" i="106"/>
  <c r="W125" i="106"/>
  <c r="R19" i="106"/>
  <c r="R29" i="106"/>
  <c r="R34" i="106"/>
  <c r="U34" i="106"/>
  <c r="W34" i="106"/>
  <c r="X34" i="106"/>
  <c r="R38" i="106"/>
  <c r="U38" i="106"/>
  <c r="W38" i="106"/>
  <c r="X38" i="106"/>
  <c r="R42" i="106"/>
  <c r="U42" i="106"/>
  <c r="W42" i="106"/>
  <c r="X42" i="106"/>
  <c r="R64" i="106"/>
  <c r="U64" i="106"/>
  <c r="W64" i="106"/>
  <c r="X64" i="106"/>
  <c r="R68" i="106"/>
  <c r="U68" i="106"/>
  <c r="W68" i="106"/>
  <c r="X68" i="106"/>
  <c r="T72" i="106"/>
  <c r="U72" i="106"/>
  <c r="W72" i="106"/>
  <c r="X72" i="106"/>
  <c r="X134" i="106"/>
  <c r="AB134" i="106"/>
  <c r="X141" i="106"/>
  <c r="AB141" i="106"/>
  <c r="AB149" i="106"/>
  <c r="X149" i="106"/>
  <c r="R197" i="106"/>
  <c r="U197" i="106"/>
  <c r="W197" i="106"/>
  <c r="X197" i="106"/>
  <c r="X201" i="106"/>
  <c r="AB201" i="106"/>
  <c r="R56" i="106"/>
  <c r="U56" i="106"/>
  <c r="W56" i="106"/>
  <c r="AB139" i="106"/>
  <c r="E11" i="103"/>
  <c r="X139" i="106"/>
  <c r="T167" i="106"/>
  <c r="R173" i="106"/>
  <c r="U173" i="106"/>
  <c r="W173" i="106"/>
  <c r="X173" i="106"/>
  <c r="R179" i="106"/>
  <c r="U179" i="106"/>
  <c r="W179" i="106"/>
  <c r="X179" i="106"/>
  <c r="T159" i="106"/>
  <c r="U159" i="106"/>
  <c r="W159" i="106"/>
  <c r="D16" i="103"/>
  <c r="U167" i="106"/>
  <c r="W167" i="106"/>
  <c r="R177" i="106"/>
  <c r="U177" i="106"/>
  <c r="W177" i="106"/>
  <c r="X177" i="106"/>
  <c r="R188" i="106"/>
  <c r="U188" i="106"/>
  <c r="W188" i="106"/>
  <c r="X188" i="106"/>
  <c r="X131" i="106"/>
  <c r="L233" i="106"/>
  <c r="L234" i="106"/>
  <c r="Y45" i="106"/>
  <c r="D27" i="103"/>
  <c r="X54" i="106"/>
  <c r="X164" i="106"/>
  <c r="D18" i="103"/>
  <c r="X196" i="106"/>
  <c r="D25" i="103"/>
  <c r="D24" i="103"/>
  <c r="D22" i="103"/>
  <c r="D7" i="103"/>
  <c r="X137" i="106"/>
  <c r="D11" i="103"/>
  <c r="D15" i="103"/>
  <c r="T231" i="106"/>
  <c r="X169" i="106"/>
  <c r="D19" i="103"/>
  <c r="E4" i="103"/>
  <c r="T230" i="106"/>
  <c r="X160" i="106"/>
  <c r="D17" i="103"/>
  <c r="X130" i="106"/>
  <c r="D8" i="103"/>
  <c r="D14" i="103"/>
  <c r="AB190" i="106"/>
  <c r="X190" i="106"/>
  <c r="AB180" i="106"/>
  <c r="X180" i="106"/>
  <c r="AB200" i="106"/>
  <c r="X200" i="106"/>
  <c r="AB154" i="106"/>
  <c r="X154" i="106"/>
  <c r="AB135" i="106"/>
  <c r="X135" i="106"/>
  <c r="AB159" i="106"/>
  <c r="E16" i="103"/>
  <c r="X159" i="106"/>
  <c r="AB125" i="106"/>
  <c r="X125" i="106"/>
  <c r="U20" i="106"/>
  <c r="X32" i="106"/>
  <c r="AB32" i="106"/>
  <c r="V234" i="106"/>
  <c r="V235" i="106"/>
  <c r="P234" i="106"/>
  <c r="R229" i="106"/>
  <c r="W23" i="106"/>
  <c r="R232" i="106"/>
  <c r="U70" i="106"/>
  <c r="W70" i="106"/>
  <c r="X70" i="106"/>
  <c r="T202" i="106"/>
  <c r="AB167" i="106"/>
  <c r="E18" i="103"/>
  <c r="X167" i="106"/>
  <c r="AB56" i="106"/>
  <c r="AC45" i="106"/>
  <c r="X56" i="106"/>
  <c r="R230" i="106"/>
  <c r="U29" i="106"/>
  <c r="W29" i="106"/>
  <c r="E17" i="53"/>
  <c r="R226" i="106"/>
  <c r="R202" i="106"/>
  <c r="U19" i="106"/>
  <c r="N233" i="106"/>
  <c r="N234" i="106"/>
  <c r="U228" i="106"/>
  <c r="W63" i="106"/>
  <c r="U231" i="106"/>
  <c r="W27" i="106"/>
  <c r="AB174" i="106"/>
  <c r="X174" i="106"/>
  <c r="X36" i="106"/>
  <c r="Y44" i="106"/>
  <c r="F45" i="53"/>
  <c r="U229" i="106"/>
  <c r="W78" i="106"/>
  <c r="T229" i="106"/>
  <c r="T233" i="106"/>
  <c r="U232" i="106"/>
  <c r="W21" i="106"/>
  <c r="W203" i="106"/>
  <c r="T234" i="106"/>
  <c r="Z203" i="106"/>
  <c r="R233" i="106"/>
  <c r="R234" i="106"/>
  <c r="Y33" i="106"/>
  <c r="Y202" i="106"/>
  <c r="F46" i="53"/>
  <c r="D2" i="103"/>
  <c r="E27" i="103"/>
  <c r="W232" i="106"/>
  <c r="W238" i="106"/>
  <c r="W239" i="106"/>
  <c r="X210" i="106"/>
  <c r="X211" i="106"/>
  <c r="X21" i="106"/>
  <c r="X232" i="106"/>
  <c r="W229" i="106"/>
  <c r="X78" i="106"/>
  <c r="X229" i="106"/>
  <c r="W231" i="106"/>
  <c r="AB27" i="106"/>
  <c r="X27" i="106"/>
  <c r="X231" i="106"/>
  <c r="W228" i="106"/>
  <c r="Y77" i="106"/>
  <c r="F44" i="53"/>
  <c r="X63" i="106"/>
  <c r="X228" i="106"/>
  <c r="AB29" i="106"/>
  <c r="F17" i="53"/>
  <c r="C17" i="53"/>
  <c r="X29" i="106"/>
  <c r="W230" i="106"/>
  <c r="X23" i="106"/>
  <c r="X230" i="106"/>
  <c r="U226" i="106"/>
  <c r="U202" i="106"/>
  <c r="W19" i="106"/>
  <c r="U230" i="106"/>
  <c r="U227" i="106"/>
  <c r="W20" i="106"/>
  <c r="AB203" i="106"/>
  <c r="Y32" i="106"/>
  <c r="F47" i="53"/>
  <c r="W227" i="106"/>
  <c r="X20" i="106"/>
  <c r="X227" i="106"/>
  <c r="W226" i="106"/>
  <c r="F43" i="53"/>
  <c r="W202" i="106"/>
  <c r="W210" i="106"/>
  <c r="X19" i="106"/>
  <c r="X226" i="106"/>
  <c r="U233" i="106"/>
  <c r="U225" i="106"/>
  <c r="AB202" i="106"/>
  <c r="H50" i="53"/>
  <c r="F48" i="53"/>
  <c r="W212" i="106"/>
  <c r="Y210" i="106"/>
  <c r="Y212" i="106"/>
  <c r="W215" i="106"/>
  <c r="W220" i="106"/>
  <c r="W213" i="106"/>
  <c r="W208" i="106"/>
  <c r="U235" i="106"/>
  <c r="U234" i="106"/>
  <c r="W233" i="106"/>
  <c r="W225" i="106"/>
  <c r="G48" i="53"/>
  <c r="H49" i="53"/>
  <c r="E49" i="53"/>
  <c r="W235" i="106"/>
  <c r="W236" i="106"/>
  <c r="Y217" i="106"/>
  <c r="Y211" i="106"/>
  <c r="Z211" i="106"/>
  <c r="W234" i="106"/>
  <c r="W218" i="106"/>
  <c r="W223" i="106"/>
  <c r="W217" i="106"/>
  <c r="W222" i="106"/>
  <c r="Z212" i="106"/>
  <c r="Z213" i="106"/>
  <c r="Z215" i="106"/>
  <c r="B6" i="13"/>
  <c r="B6" i="60"/>
  <c r="B6" i="14"/>
  <c r="B6" i="64"/>
  <c r="B6" i="66"/>
  <c r="B6" i="68"/>
  <c r="B6" i="18"/>
  <c r="B6" i="1"/>
  <c r="B6" i="4"/>
  <c r="B6" i="5"/>
  <c r="B6" i="7"/>
  <c r="B6" i="8"/>
  <c r="B6" i="9"/>
  <c r="B6" i="10"/>
  <c r="B6" i="11"/>
  <c r="B6" i="12"/>
  <c r="B6" i="15"/>
  <c r="B6" i="16"/>
  <c r="B6" i="17"/>
  <c r="G7" i="47"/>
  <c r="G8" i="47"/>
  <c r="G9" i="47"/>
  <c r="G10" i="47"/>
  <c r="G6" i="47"/>
  <c r="E24" i="4"/>
  <c r="G159" i="102"/>
  <c r="G17" i="17"/>
  <c r="C17" i="17"/>
  <c r="G16" i="17"/>
  <c r="C16" i="17"/>
  <c r="G15" i="17"/>
  <c r="C15" i="17"/>
  <c r="G14" i="17"/>
  <c r="C14" i="17"/>
  <c r="G13" i="17"/>
  <c r="C13" i="17"/>
  <c r="G12" i="17"/>
  <c r="C12" i="17"/>
  <c r="G11" i="17"/>
  <c r="C11" i="17"/>
  <c r="G17" i="16"/>
  <c r="C17" i="16"/>
  <c r="G16" i="16"/>
  <c r="C16" i="16"/>
  <c r="G15" i="16"/>
  <c r="C15" i="16"/>
  <c r="G14" i="16"/>
  <c r="C14" i="16"/>
  <c r="G13" i="16"/>
  <c r="C13" i="16"/>
  <c r="G12" i="16"/>
  <c r="C12" i="16"/>
  <c r="G11" i="16"/>
  <c r="C11" i="16"/>
  <c r="G16" i="15"/>
  <c r="G17" i="15"/>
  <c r="G18" i="15"/>
  <c r="C17" i="15"/>
  <c r="C16" i="15"/>
  <c r="G15" i="15"/>
  <c r="C15" i="15"/>
  <c r="G14" i="15"/>
  <c r="C14" i="15"/>
  <c r="G13" i="15"/>
  <c r="C13" i="15"/>
  <c r="G12" i="15"/>
  <c r="C12" i="15"/>
  <c r="G11" i="15"/>
  <c r="C11" i="15"/>
  <c r="G17" i="12"/>
  <c r="C17" i="12"/>
  <c r="G16" i="12"/>
  <c r="C16" i="12"/>
  <c r="G15" i="12"/>
  <c r="C15" i="12"/>
  <c r="G14" i="12"/>
  <c r="C14" i="12"/>
  <c r="G13" i="12"/>
  <c r="C13" i="12"/>
  <c r="G12" i="12"/>
  <c r="C12" i="12"/>
  <c r="G11" i="12"/>
  <c r="C11" i="12"/>
  <c r="G17" i="11"/>
  <c r="C17" i="11"/>
  <c r="G16" i="11"/>
  <c r="C16" i="11"/>
  <c r="G15" i="11"/>
  <c r="C15" i="11"/>
  <c r="G14" i="11"/>
  <c r="C14" i="11"/>
  <c r="G13" i="11"/>
  <c r="C13" i="11"/>
  <c r="G12" i="11"/>
  <c r="C12" i="11"/>
  <c r="G11" i="11"/>
  <c r="C11" i="11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7" i="9"/>
  <c r="C17" i="9"/>
  <c r="G16" i="9"/>
  <c r="C16" i="9"/>
  <c r="G15" i="9"/>
  <c r="C15" i="9"/>
  <c r="G14" i="9"/>
  <c r="C14" i="9"/>
  <c r="G13" i="9"/>
  <c r="C13" i="9"/>
  <c r="G12" i="9"/>
  <c r="C12" i="9"/>
  <c r="G11" i="9"/>
  <c r="C11" i="9"/>
  <c r="G19" i="8"/>
  <c r="G20" i="8"/>
  <c r="G18" i="8"/>
  <c r="C18" i="8"/>
  <c r="G17" i="8"/>
  <c r="C17" i="8"/>
  <c r="G16" i="8"/>
  <c r="C16" i="8"/>
  <c r="G15" i="8"/>
  <c r="C15" i="8"/>
  <c r="G14" i="8"/>
  <c r="C14" i="8"/>
  <c r="G13" i="8"/>
  <c r="C13" i="8"/>
  <c r="G12" i="8"/>
  <c r="C12" i="8"/>
  <c r="G19" i="7"/>
  <c r="G20" i="7"/>
  <c r="C16" i="7"/>
  <c r="C15" i="7"/>
  <c r="C15" i="5"/>
  <c r="C14" i="5"/>
  <c r="C18" i="7"/>
  <c r="C17" i="7"/>
  <c r="C14" i="7"/>
  <c r="C13" i="7"/>
  <c r="C12" i="7"/>
  <c r="C17" i="5"/>
  <c r="C16" i="5"/>
  <c r="C13" i="5"/>
  <c r="C12" i="5"/>
  <c r="C11" i="5"/>
  <c r="G18" i="7"/>
  <c r="G17" i="7"/>
  <c r="G16" i="7"/>
  <c r="G15" i="7"/>
  <c r="G14" i="7"/>
  <c r="G13" i="7"/>
  <c r="G12" i="7"/>
  <c r="G17" i="5"/>
  <c r="G16" i="5"/>
  <c r="G15" i="5"/>
  <c r="G14" i="5"/>
  <c r="G13" i="5"/>
  <c r="G12" i="5"/>
  <c r="G11" i="5"/>
  <c r="G18" i="4"/>
  <c r="G19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F159" i="102"/>
  <c r="J159" i="102"/>
  <c r="K159" i="102"/>
  <c r="G20" i="18"/>
  <c r="H48" i="105"/>
  <c r="K48" i="105"/>
  <c r="S48" i="105"/>
  <c r="T48" i="105"/>
  <c r="U48" i="105"/>
  <c r="V48" i="105"/>
  <c r="X48" i="105"/>
  <c r="Y48" i="105"/>
  <c r="G12" i="1"/>
  <c r="G13" i="1"/>
  <c r="G14" i="1"/>
  <c r="G15" i="1"/>
  <c r="G16" i="1"/>
  <c r="G17" i="1"/>
  <c r="G18" i="1"/>
  <c r="G19" i="1"/>
  <c r="G20" i="1"/>
  <c r="G11" i="1"/>
  <c r="C17" i="1"/>
  <c r="C16" i="1"/>
  <c r="C15" i="1"/>
  <c r="C14" i="1"/>
  <c r="C13" i="1"/>
  <c r="C12" i="1"/>
  <c r="C11" i="1"/>
  <c r="G19" i="18"/>
  <c r="G12" i="18"/>
  <c r="G13" i="18"/>
  <c r="G14" i="18"/>
  <c r="G15" i="18"/>
  <c r="G16" i="18"/>
  <c r="G17" i="18"/>
  <c r="G21" i="18"/>
  <c r="G18" i="18"/>
  <c r="G11" i="18"/>
  <c r="C17" i="18"/>
  <c r="C16" i="18"/>
  <c r="C15" i="18"/>
  <c r="C14" i="18"/>
  <c r="C13" i="18"/>
  <c r="C12" i="18"/>
  <c r="C11" i="18"/>
  <c r="G12" i="68"/>
  <c r="G13" i="68"/>
  <c r="G14" i="68"/>
  <c r="G15" i="68"/>
  <c r="G16" i="68"/>
  <c r="G17" i="68"/>
  <c r="G18" i="68"/>
  <c r="G19" i="68"/>
  <c r="G20" i="68"/>
  <c r="G21" i="68"/>
  <c r="G22" i="68"/>
  <c r="G11" i="68"/>
  <c r="C17" i="68"/>
  <c r="C16" i="68"/>
  <c r="C15" i="68"/>
  <c r="C14" i="68"/>
  <c r="C13" i="68"/>
  <c r="C12" i="68"/>
  <c r="C11" i="68"/>
  <c r="G12" i="66"/>
  <c r="G13" i="66"/>
  <c r="G14" i="66"/>
  <c r="G15" i="66"/>
  <c r="G16" i="66"/>
  <c r="G17" i="66"/>
  <c r="G11" i="66"/>
  <c r="C17" i="66"/>
  <c r="C16" i="66"/>
  <c r="C15" i="66"/>
  <c r="C14" i="66"/>
  <c r="C13" i="66"/>
  <c r="C12" i="66"/>
  <c r="C11" i="66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12" i="64"/>
  <c r="G13" i="64"/>
  <c r="G14" i="64"/>
  <c r="G15" i="64"/>
  <c r="G16" i="64"/>
  <c r="G11" i="64"/>
  <c r="C15" i="64"/>
  <c r="C14" i="64"/>
  <c r="C15" i="14"/>
  <c r="C14" i="14"/>
  <c r="C12" i="14"/>
  <c r="C13" i="14"/>
  <c r="C16" i="14"/>
  <c r="C17" i="14"/>
  <c r="C11" i="14"/>
  <c r="C12" i="64"/>
  <c r="C13" i="64"/>
  <c r="C16" i="64"/>
  <c r="C17" i="64"/>
  <c r="C11" i="64"/>
  <c r="C21" i="14"/>
  <c r="C20" i="14"/>
  <c r="G20" i="14"/>
  <c r="G21" i="14"/>
  <c r="G19" i="14"/>
  <c r="G18" i="14"/>
  <c r="G12" i="14"/>
  <c r="G13" i="14"/>
  <c r="G14" i="14"/>
  <c r="G15" i="14"/>
  <c r="G16" i="14"/>
  <c r="G17" i="14"/>
  <c r="G11" i="14"/>
  <c r="G22" i="14"/>
  <c r="G12" i="60"/>
  <c r="G13" i="60"/>
  <c r="G14" i="60"/>
  <c r="G15" i="60"/>
  <c r="G16" i="60"/>
  <c r="G17" i="60"/>
  <c r="G11" i="60"/>
  <c r="C17" i="60"/>
  <c r="C16" i="60"/>
  <c r="C15" i="60"/>
  <c r="C14" i="60"/>
  <c r="C13" i="60"/>
  <c r="C12" i="60"/>
  <c r="C11" i="60"/>
  <c r="G18" i="13"/>
  <c r="G19" i="13"/>
  <c r="C17" i="13"/>
  <c r="C16" i="13"/>
  <c r="C15" i="13"/>
  <c r="C14" i="13"/>
  <c r="C13" i="13"/>
  <c r="C12" i="13"/>
  <c r="C11" i="13"/>
  <c r="G12" i="13"/>
  <c r="G13" i="13"/>
  <c r="G14" i="13"/>
  <c r="G15" i="13"/>
  <c r="G16" i="13"/>
  <c r="G17" i="13"/>
  <c r="G11" i="13"/>
  <c r="C35" i="105"/>
  <c r="C32" i="105"/>
  <c r="C24" i="105"/>
  <c r="C22" i="105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11" i="56"/>
  <c r="C15" i="56"/>
  <c r="C14" i="56"/>
  <c r="C13" i="56"/>
  <c r="AA8" i="105"/>
  <c r="C12" i="56"/>
  <c r="C16" i="56"/>
  <c r="C17" i="56"/>
  <c r="C11" i="56"/>
  <c r="C33" i="105"/>
  <c r="AA9" i="105"/>
  <c r="J161" i="102"/>
  <c r="J162" i="102"/>
  <c r="K162" i="102"/>
  <c r="K163" i="102"/>
  <c r="G164" i="102"/>
  <c r="K165" i="102"/>
  <c r="C34" i="105"/>
  <c r="K45" i="105"/>
  <c r="S45" i="105"/>
  <c r="U45" i="105"/>
  <c r="V45" i="105"/>
  <c r="X45" i="105"/>
  <c r="Y45" i="105"/>
  <c r="C51" i="105"/>
  <c r="AA7" i="105"/>
  <c r="C108" i="50"/>
  <c r="I22" i="60"/>
  <c r="I27" i="14"/>
  <c r="I36" i="64"/>
  <c r="I22" i="66"/>
  <c r="I26" i="18"/>
  <c r="I25" i="1"/>
  <c r="I24" i="4"/>
  <c r="I25" i="5"/>
  <c r="I26" i="7"/>
  <c r="I26" i="8"/>
  <c r="I22" i="9"/>
  <c r="I22" i="10"/>
  <c r="I22" i="11"/>
  <c r="I22" i="12"/>
  <c r="I23" i="15"/>
  <c r="I22" i="16"/>
  <c r="I22" i="17"/>
  <c r="G24" i="13"/>
  <c r="K161" i="102"/>
  <c r="AA11" i="105"/>
  <c r="AA6" i="105"/>
  <c r="AA5" i="105"/>
  <c r="AA12" i="105"/>
  <c r="AA10" i="105"/>
  <c r="H45" i="105"/>
  <c r="T45" i="105"/>
  <c r="I6" i="13"/>
  <c r="G180" i="102"/>
  <c r="J180" i="102"/>
  <c r="AC98" i="104"/>
  <c r="AC82" i="104"/>
  <c r="AC80" i="104"/>
  <c r="AC79" i="104"/>
  <c r="AC66" i="104"/>
  <c r="AC63" i="104"/>
  <c r="AC62" i="104"/>
  <c r="AC60" i="104"/>
  <c r="AC52" i="104"/>
  <c r="AC51" i="104"/>
  <c r="AC43" i="104"/>
  <c r="AC23" i="104"/>
  <c r="AA98" i="104"/>
  <c r="AA82" i="104"/>
  <c r="AA80" i="104"/>
  <c r="AA79" i="104"/>
  <c r="AA66" i="104"/>
  <c r="AA63" i="104"/>
  <c r="AA62" i="104"/>
  <c r="AA60" i="104"/>
  <c r="AA52" i="104"/>
  <c r="AA51" i="104"/>
  <c r="AA43" i="104"/>
  <c r="AA23" i="104"/>
  <c r="Y98" i="104"/>
  <c r="Y82" i="104"/>
  <c r="Y80" i="104"/>
  <c r="Y79" i="104"/>
  <c r="Y66" i="104"/>
  <c r="Y63" i="104"/>
  <c r="Y62" i="104"/>
  <c r="Y60" i="104"/>
  <c r="Y52" i="104"/>
  <c r="Y51" i="104"/>
  <c r="Y43" i="104"/>
  <c r="Y23" i="104"/>
  <c r="W98" i="104"/>
  <c r="W82" i="104"/>
  <c r="W80" i="104"/>
  <c r="W79" i="104"/>
  <c r="W66" i="104"/>
  <c r="W63" i="104"/>
  <c r="W62" i="104"/>
  <c r="W60" i="104"/>
  <c r="W52" i="104"/>
  <c r="W51" i="104"/>
  <c r="W43" i="104"/>
  <c r="W23" i="104"/>
  <c r="R101" i="104"/>
  <c r="R100" i="104"/>
  <c r="U98" i="104"/>
  <c r="V98" i="104"/>
  <c r="R95" i="104"/>
  <c r="R94" i="104"/>
  <c r="R91" i="104"/>
  <c r="R90" i="104"/>
  <c r="R87" i="104"/>
  <c r="R84" i="104"/>
  <c r="R83" i="104"/>
  <c r="U82" i="104"/>
  <c r="V82" i="104"/>
  <c r="R81" i="104"/>
  <c r="U80" i="104"/>
  <c r="V80" i="104"/>
  <c r="V79" i="104"/>
  <c r="X79" i="104"/>
  <c r="U79" i="104"/>
  <c r="R78" i="104"/>
  <c r="R77" i="104"/>
  <c r="R76" i="104"/>
  <c r="R75" i="104"/>
  <c r="R74" i="104"/>
  <c r="R73" i="104"/>
  <c r="R72" i="104"/>
  <c r="R71" i="104"/>
  <c r="R70" i="104"/>
  <c r="R69" i="104"/>
  <c r="R68" i="104"/>
  <c r="R67" i="104"/>
  <c r="U66" i="104"/>
  <c r="V66" i="104"/>
  <c r="V63" i="104"/>
  <c r="X63" i="104"/>
  <c r="U63" i="104"/>
  <c r="U62" i="104"/>
  <c r="V62" i="104"/>
  <c r="R61" i="104"/>
  <c r="U60" i="104"/>
  <c r="V60" i="104"/>
  <c r="R57" i="104"/>
  <c r="R56" i="104"/>
  <c r="R55" i="104"/>
  <c r="U52" i="104"/>
  <c r="V52" i="104"/>
  <c r="U51" i="104"/>
  <c r="V51" i="104"/>
  <c r="R48" i="104"/>
  <c r="R47" i="104"/>
  <c r="R46" i="104"/>
  <c r="U43" i="104"/>
  <c r="V43" i="104"/>
  <c r="R42" i="104"/>
  <c r="R39" i="104"/>
  <c r="R36" i="104"/>
  <c r="R33" i="104"/>
  <c r="R32" i="104"/>
  <c r="R31" i="104"/>
  <c r="R30" i="104"/>
  <c r="R27" i="104"/>
  <c r="R26" i="104"/>
  <c r="U23" i="104"/>
  <c r="V23" i="104"/>
  <c r="R20" i="104"/>
  <c r="R19" i="104"/>
  <c r="R18" i="104"/>
  <c r="R17" i="104"/>
  <c r="R16" i="104"/>
  <c r="U13" i="104"/>
  <c r="T13" i="104"/>
  <c r="U12" i="104"/>
  <c r="V12" i="104"/>
  <c r="X12" i="104"/>
  <c r="Z12" i="104"/>
  <c r="AB12" i="104"/>
  <c r="AD12" i="104"/>
  <c r="AC11" i="104"/>
  <c r="AA11" i="104"/>
  <c r="Y11" i="104"/>
  <c r="W11" i="104"/>
  <c r="U11" i="104"/>
  <c r="T11" i="104"/>
  <c r="S11" i="104"/>
  <c r="S79" i="104"/>
  <c r="X23" i="104"/>
  <c r="V13" i="104"/>
  <c r="V11" i="104"/>
  <c r="X43" i="104"/>
  <c r="X51" i="104"/>
  <c r="X66" i="104"/>
  <c r="Z79" i="104"/>
  <c r="X52" i="104"/>
  <c r="X60" i="104"/>
  <c r="X62" i="104"/>
  <c r="Z63" i="104"/>
  <c r="X80" i="104"/>
  <c r="X82" i="104"/>
  <c r="X98" i="104"/>
  <c r="S52" i="104"/>
  <c r="S60" i="104"/>
  <c r="S62" i="104"/>
  <c r="S66" i="104"/>
  <c r="S80" i="104"/>
  <c r="S82" i="104"/>
  <c r="S98" i="104"/>
  <c r="S23" i="104"/>
  <c r="S43" i="104"/>
  <c r="S51" i="104"/>
  <c r="S63" i="104"/>
  <c r="AB63" i="104"/>
  <c r="AB79" i="104"/>
  <c r="Z51" i="104"/>
  <c r="Z43" i="104"/>
  <c r="S13" i="104"/>
  <c r="Z98" i="104"/>
  <c r="Z82" i="104"/>
  <c r="Z80" i="104"/>
  <c r="Z62" i="104"/>
  <c r="Z60" i="104"/>
  <c r="Z52" i="104"/>
  <c r="Z66" i="104"/>
  <c r="W13" i="104"/>
  <c r="Z23" i="104"/>
  <c r="X13" i="104"/>
  <c r="X11" i="104"/>
  <c r="Y13" i="104"/>
  <c r="AB23" i="104"/>
  <c r="Z13" i="104"/>
  <c r="Z11" i="104"/>
  <c r="AB66" i="104"/>
  <c r="AB52" i="104"/>
  <c r="AB60" i="104"/>
  <c r="AB62" i="104"/>
  <c r="AB80" i="104"/>
  <c r="AB82" i="104"/>
  <c r="AB98" i="104"/>
  <c r="AB43" i="104"/>
  <c r="AB51" i="104"/>
  <c r="AD79" i="104"/>
  <c r="AD63" i="104"/>
  <c r="AD51" i="104"/>
  <c r="AD43" i="104"/>
  <c r="AD98" i="104"/>
  <c r="AD82" i="104"/>
  <c r="AD80" i="104"/>
  <c r="AD62" i="104"/>
  <c r="AD60" i="104"/>
  <c r="AD52" i="104"/>
  <c r="AD66" i="104"/>
  <c r="AA13" i="104"/>
  <c r="AD23" i="104"/>
  <c r="AD13" i="104"/>
  <c r="AD11" i="104"/>
  <c r="AB13" i="104"/>
  <c r="AB11" i="104"/>
  <c r="AC13" i="104"/>
  <c r="AC103" i="104"/>
  <c r="L41" i="77"/>
  <c r="J48" i="53"/>
  <c r="C7" i="53"/>
  <c r="N10" i="76"/>
  <c r="I25" i="103"/>
  <c r="E24" i="13"/>
  <c r="M11" i="76"/>
  <c r="N11" i="76"/>
  <c r="M17" i="76"/>
  <c r="N17" i="76"/>
  <c r="G7" i="76"/>
  <c r="D6" i="13"/>
  <c r="G8" i="76"/>
  <c r="D6" i="60"/>
  <c r="C22" i="60"/>
  <c r="G9" i="76"/>
  <c r="F9" i="76"/>
  <c r="G10" i="76"/>
  <c r="G11" i="76"/>
  <c r="D6" i="66"/>
  <c r="C22" i="66"/>
  <c r="G12" i="76"/>
  <c r="D6" i="68"/>
  <c r="G13" i="76"/>
  <c r="G14" i="76"/>
  <c r="D6" i="1"/>
  <c r="G15" i="76"/>
  <c r="D6" i="4"/>
  <c r="G16" i="76"/>
  <c r="D6" i="5"/>
  <c r="G17" i="76"/>
  <c r="D6" i="7"/>
  <c r="G18" i="76"/>
  <c r="D6" i="8"/>
  <c r="G19" i="76"/>
  <c r="D6" i="9"/>
  <c r="G20" i="76"/>
  <c r="D6" i="10"/>
  <c r="G21" i="76"/>
  <c r="D6" i="11"/>
  <c r="G22" i="76"/>
  <c r="D6" i="12"/>
  <c r="G23" i="76"/>
  <c r="D6" i="15"/>
  <c r="C18" i="15"/>
  <c r="G24" i="76"/>
  <c r="D6" i="16"/>
  <c r="G25" i="76"/>
  <c r="D6" i="17"/>
  <c r="G6" i="76"/>
  <c r="B7" i="76"/>
  <c r="B8" i="76"/>
  <c r="B9" i="76"/>
  <c r="B10" i="76"/>
  <c r="B11" i="76"/>
  <c r="B12" i="76"/>
  <c r="B13" i="76"/>
  <c r="B14" i="76"/>
  <c r="B15" i="76"/>
  <c r="B16" i="76"/>
  <c r="B17" i="76"/>
  <c r="B18" i="76"/>
  <c r="B19" i="76"/>
  <c r="B20" i="76"/>
  <c r="B21" i="76"/>
  <c r="B22" i="76"/>
  <c r="B23" i="76"/>
  <c r="B24" i="76"/>
  <c r="B25" i="76"/>
  <c r="B6" i="76"/>
  <c r="A7" i="76"/>
  <c r="A8" i="76"/>
  <c r="A9" i="76"/>
  <c r="A10" i="76"/>
  <c r="A11" i="76"/>
  <c r="A12" i="76"/>
  <c r="A13" i="76"/>
  <c r="A14" i="76"/>
  <c r="A15" i="76"/>
  <c r="A16" i="76"/>
  <c r="A17" i="76"/>
  <c r="A18" i="76"/>
  <c r="A19" i="76"/>
  <c r="A20" i="76"/>
  <c r="A21" i="76"/>
  <c r="A22" i="76"/>
  <c r="A23" i="76"/>
  <c r="A24" i="76"/>
  <c r="A25" i="76"/>
  <c r="A6" i="76"/>
  <c r="D6" i="64"/>
  <c r="C36" i="64"/>
  <c r="F10" i="76"/>
  <c r="D22" i="17"/>
  <c r="H22" i="17"/>
  <c r="Y2" i="105"/>
  <c r="Y1" i="105"/>
  <c r="D22" i="11"/>
  <c r="H22" i="11"/>
  <c r="U2" i="105"/>
  <c r="U1" i="105"/>
  <c r="C22" i="9"/>
  <c r="H22" i="9"/>
  <c r="D22" i="9"/>
  <c r="S2" i="105"/>
  <c r="S1" i="105"/>
  <c r="O2" i="105"/>
  <c r="O1" i="105"/>
  <c r="C24" i="4"/>
  <c r="C19" i="4"/>
  <c r="C18" i="4"/>
  <c r="F13" i="76"/>
  <c r="D6" i="18"/>
  <c r="C24" i="13"/>
  <c r="D19" i="13"/>
  <c r="C19" i="13"/>
  <c r="D18" i="13"/>
  <c r="C18" i="13"/>
  <c r="C22" i="16"/>
  <c r="D22" i="16"/>
  <c r="X2" i="105"/>
  <c r="X1" i="105"/>
  <c r="D22" i="12"/>
  <c r="H22" i="12"/>
  <c r="V2" i="105"/>
  <c r="V1" i="105"/>
  <c r="D22" i="10"/>
  <c r="C22" i="10"/>
  <c r="T2" i="105"/>
  <c r="T1" i="105"/>
  <c r="P2" i="105"/>
  <c r="P1" i="105"/>
  <c r="C25" i="5"/>
  <c r="C19" i="5"/>
  <c r="C20" i="5"/>
  <c r="C18" i="5"/>
  <c r="C25" i="1"/>
  <c r="H25" i="1"/>
  <c r="D20" i="1"/>
  <c r="C20" i="1"/>
  <c r="C18" i="1"/>
  <c r="D19" i="1"/>
  <c r="C19" i="1"/>
  <c r="C26" i="8"/>
  <c r="C20" i="8"/>
  <c r="C19" i="8"/>
  <c r="Q2" i="105"/>
  <c r="Q1" i="105"/>
  <c r="C26" i="7"/>
  <c r="C19" i="7"/>
  <c r="C20" i="7"/>
  <c r="D18" i="15"/>
  <c r="E18" i="15"/>
  <c r="H18" i="15"/>
  <c r="J18" i="15"/>
  <c r="W47" i="105"/>
  <c r="W2" i="105"/>
  <c r="W1" i="105"/>
  <c r="W20" i="105"/>
  <c r="R2" i="105"/>
  <c r="R1" i="105"/>
  <c r="D18" i="1"/>
  <c r="N2" i="105"/>
  <c r="N1" i="105"/>
  <c r="C20" i="68"/>
  <c r="C22" i="68"/>
  <c r="D18" i="68"/>
  <c r="C21" i="68"/>
  <c r="C18" i="68"/>
  <c r="H18" i="68"/>
  <c r="J18" i="68"/>
  <c r="C19" i="68"/>
  <c r="D19" i="68"/>
  <c r="L2" i="105"/>
  <c r="L1" i="105"/>
  <c r="D22" i="66"/>
  <c r="H22" i="66"/>
  <c r="K2" i="105"/>
  <c r="K1" i="105"/>
  <c r="C22" i="64"/>
  <c r="C20" i="64"/>
  <c r="C23" i="64"/>
  <c r="C24" i="64"/>
  <c r="C27" i="64"/>
  <c r="C21" i="64"/>
  <c r="C19" i="64"/>
  <c r="C25" i="64"/>
  <c r="C26" i="64"/>
  <c r="C28" i="64"/>
  <c r="D26" i="64"/>
  <c r="C29" i="64"/>
  <c r="C31" i="64"/>
  <c r="C30" i="64"/>
  <c r="J2" i="105"/>
  <c r="J1" i="105"/>
  <c r="J22" i="105"/>
  <c r="D22" i="60"/>
  <c r="H22" i="60"/>
  <c r="H2" i="105"/>
  <c r="H1" i="105"/>
  <c r="D24" i="13"/>
  <c r="G2" i="105"/>
  <c r="G1" i="105"/>
  <c r="G14" i="105"/>
  <c r="D20" i="8"/>
  <c r="D26" i="8"/>
  <c r="D19" i="8"/>
  <c r="D20" i="5"/>
  <c r="D18" i="5"/>
  <c r="D25" i="5"/>
  <c r="D19" i="5"/>
  <c r="D21" i="68"/>
  <c r="D22" i="68"/>
  <c r="D20" i="68"/>
  <c r="G26" i="76"/>
  <c r="F16" i="76"/>
  <c r="F14" i="76"/>
  <c r="F12" i="76"/>
  <c r="F8" i="76"/>
  <c r="F17" i="76"/>
  <c r="O17" i="76"/>
  <c r="C6" i="7"/>
  <c r="F19" i="76"/>
  <c r="F24" i="76"/>
  <c r="F22" i="76"/>
  <c r="F20" i="76"/>
  <c r="D6" i="56"/>
  <c r="D6" i="14"/>
  <c r="D23" i="15"/>
  <c r="H23" i="15"/>
  <c r="D26" i="7"/>
  <c r="D19" i="7"/>
  <c r="D20" i="7"/>
  <c r="D19" i="4"/>
  <c r="D24" i="4"/>
  <c r="D18" i="4"/>
  <c r="F6" i="76"/>
  <c r="F15" i="76"/>
  <c r="F11" i="76"/>
  <c r="F7" i="76"/>
  <c r="F18" i="76"/>
  <c r="F25" i="76"/>
  <c r="F23" i="76"/>
  <c r="F21" i="76"/>
  <c r="O10" i="76"/>
  <c r="C6" i="64"/>
  <c r="D19" i="64"/>
  <c r="D25" i="64"/>
  <c r="D31" i="64"/>
  <c r="D24" i="64"/>
  <c r="D30" i="64"/>
  <c r="D23" i="64"/>
  <c r="D29" i="64"/>
  <c r="D36" i="64"/>
  <c r="D22" i="64"/>
  <c r="D28" i="64"/>
  <c r="D21" i="64"/>
  <c r="D27" i="64"/>
  <c r="D20" i="64"/>
  <c r="E18" i="13"/>
  <c r="H18" i="13"/>
  <c r="J18" i="13"/>
  <c r="H26" i="7"/>
  <c r="H26" i="8"/>
  <c r="H25" i="5"/>
  <c r="H22" i="10"/>
  <c r="H22" i="16"/>
  <c r="H24" i="4"/>
  <c r="H36" i="64"/>
  <c r="H19" i="68"/>
  <c r="J19" i="68"/>
  <c r="C28" i="56"/>
  <c r="C22" i="56"/>
  <c r="C23" i="56"/>
  <c r="H20" i="68"/>
  <c r="J20" i="68"/>
  <c r="E20" i="5"/>
  <c r="E19" i="13"/>
  <c r="H19" i="13"/>
  <c r="J19" i="13"/>
  <c r="J20" i="13"/>
  <c r="G47" i="105"/>
  <c r="O15" i="105"/>
  <c r="O14" i="105"/>
  <c r="O45" i="105"/>
  <c r="C27" i="14"/>
  <c r="D22" i="14"/>
  <c r="D20" i="14"/>
  <c r="E20" i="14"/>
  <c r="D21" i="14"/>
  <c r="E21" i="14"/>
  <c r="D11" i="56"/>
  <c r="AA2" i="105"/>
  <c r="H21" i="68"/>
  <c r="J21" i="68"/>
  <c r="H22" i="68"/>
  <c r="J22" i="68"/>
  <c r="N17" i="105"/>
  <c r="N18" i="105"/>
  <c r="N14" i="105"/>
  <c r="E18" i="5"/>
  <c r="P14" i="105"/>
  <c r="E19" i="5"/>
  <c r="P17" i="105"/>
  <c r="P18" i="105"/>
  <c r="C26" i="18"/>
  <c r="H26" i="18"/>
  <c r="C20" i="18"/>
  <c r="D20" i="18"/>
  <c r="C21" i="18"/>
  <c r="D19" i="18"/>
  <c r="C19" i="18"/>
  <c r="M2" i="105"/>
  <c r="M1" i="105"/>
  <c r="D26" i="18"/>
  <c r="D18" i="18"/>
  <c r="D21" i="18"/>
  <c r="R14" i="105"/>
  <c r="R16" i="105"/>
  <c r="Z16" i="105"/>
  <c r="E20" i="8"/>
  <c r="E19" i="8"/>
  <c r="E20" i="7"/>
  <c r="H20" i="7"/>
  <c r="J20" i="7"/>
  <c r="E19" i="7"/>
  <c r="H19" i="7"/>
  <c r="J19" i="7"/>
  <c r="Q15" i="105"/>
  <c r="Z15" i="105"/>
  <c r="Q14" i="105"/>
  <c r="W45" i="105"/>
  <c r="W48" i="105"/>
  <c r="E19" i="68"/>
  <c r="E21" i="68"/>
  <c r="E22" i="68"/>
  <c r="E20" i="68"/>
  <c r="L21" i="105"/>
  <c r="L43" i="105"/>
  <c r="Z43" i="105"/>
  <c r="L14" i="105"/>
  <c r="L22" i="105"/>
  <c r="L42" i="105"/>
  <c r="Z42" i="105"/>
  <c r="E30" i="64"/>
  <c r="H30" i="64"/>
  <c r="J30" i="64"/>
  <c r="E29" i="64"/>
  <c r="H29" i="64"/>
  <c r="J29" i="64"/>
  <c r="E28" i="64"/>
  <c r="H28" i="64"/>
  <c r="J28" i="64"/>
  <c r="E25" i="64"/>
  <c r="H25" i="64"/>
  <c r="J25" i="64"/>
  <c r="E21" i="64"/>
  <c r="H21" i="64"/>
  <c r="J21" i="64"/>
  <c r="E24" i="64"/>
  <c r="H24" i="64"/>
  <c r="J24" i="64"/>
  <c r="E20" i="64"/>
  <c r="H20" i="64"/>
  <c r="J20" i="64"/>
  <c r="E31" i="64"/>
  <c r="H31" i="64"/>
  <c r="J31" i="64"/>
  <c r="E26" i="64"/>
  <c r="H26" i="64"/>
  <c r="J26" i="64"/>
  <c r="E19" i="64"/>
  <c r="H19" i="64"/>
  <c r="J19" i="64"/>
  <c r="E27" i="64"/>
  <c r="H27" i="64"/>
  <c r="J27" i="64"/>
  <c r="E23" i="64"/>
  <c r="H23" i="64"/>
  <c r="J23" i="64"/>
  <c r="E22" i="64"/>
  <c r="H22" i="64"/>
  <c r="J22" i="64"/>
  <c r="J14" i="105"/>
  <c r="J28" i="105"/>
  <c r="Z28" i="105"/>
  <c r="J24" i="105"/>
  <c r="J18" i="105"/>
  <c r="Z18" i="105"/>
  <c r="J30" i="105"/>
  <c r="Z30" i="105"/>
  <c r="J29" i="105"/>
  <c r="Z29" i="105"/>
  <c r="J26" i="105"/>
  <c r="Z26" i="105"/>
  <c r="J21" i="105"/>
  <c r="J23" i="105"/>
  <c r="J25" i="105"/>
  <c r="J32" i="105"/>
  <c r="Z32" i="105"/>
  <c r="J27" i="105"/>
  <c r="Z27" i="105"/>
  <c r="J31" i="105"/>
  <c r="Z31" i="105"/>
  <c r="C19" i="14"/>
  <c r="D18" i="14"/>
  <c r="D19" i="14"/>
  <c r="C18" i="14"/>
  <c r="E18" i="14"/>
  <c r="H18" i="14"/>
  <c r="J18" i="14"/>
  <c r="I2" i="105"/>
  <c r="I1" i="105"/>
  <c r="C22" i="14"/>
  <c r="G21" i="105"/>
  <c r="G45" i="105"/>
  <c r="F2" i="105"/>
  <c r="C21" i="56"/>
  <c r="C26" i="56"/>
  <c r="C20" i="56"/>
  <c r="C27" i="56"/>
  <c r="C29" i="56"/>
  <c r="C32" i="56"/>
  <c r="C25" i="56"/>
  <c r="C19" i="56"/>
  <c r="C31" i="56"/>
  <c r="C30" i="56"/>
  <c r="C24" i="56"/>
  <c r="C18" i="56"/>
  <c r="D19" i="56"/>
  <c r="D21" i="56"/>
  <c r="D23" i="56"/>
  <c r="D25" i="56"/>
  <c r="D27" i="56"/>
  <c r="D29" i="56"/>
  <c r="D31" i="56"/>
  <c r="D18" i="56"/>
  <c r="D37" i="56"/>
  <c r="D20" i="56"/>
  <c r="D22" i="56"/>
  <c r="D24" i="56"/>
  <c r="D26" i="56"/>
  <c r="D28" i="56"/>
  <c r="D30" i="56"/>
  <c r="D32" i="56"/>
  <c r="F26" i="76"/>
  <c r="D27" i="14"/>
  <c r="J21" i="7"/>
  <c r="J22" i="7"/>
  <c r="Q47" i="105"/>
  <c r="AA1" i="105"/>
  <c r="K37" i="56"/>
  <c r="E37" i="56"/>
  <c r="H37" i="56"/>
  <c r="E19" i="18"/>
  <c r="E20" i="18"/>
  <c r="H20" i="18"/>
  <c r="J20" i="18"/>
  <c r="N45" i="105"/>
  <c r="J23" i="68"/>
  <c r="L47" i="105"/>
  <c r="G48" i="105"/>
  <c r="I21" i="105"/>
  <c r="I19" i="105"/>
  <c r="Z19" i="105"/>
  <c r="R45" i="105"/>
  <c r="M22" i="105"/>
  <c r="M14" i="105"/>
  <c r="P45" i="105"/>
  <c r="I44" i="105"/>
  <c r="Z44" i="105"/>
  <c r="H21" i="14"/>
  <c r="J21" i="14"/>
  <c r="I14" i="105"/>
  <c r="M21" i="105"/>
  <c r="H19" i="18"/>
  <c r="J19" i="18"/>
  <c r="Z17" i="105"/>
  <c r="I22" i="105"/>
  <c r="H20" i="14"/>
  <c r="J20" i="14"/>
  <c r="Q45" i="105"/>
  <c r="Q48" i="105"/>
  <c r="L45" i="105"/>
  <c r="L48" i="105"/>
  <c r="J45" i="105"/>
  <c r="E19" i="14"/>
  <c r="H19" i="14"/>
  <c r="J19" i="14"/>
  <c r="I45" i="105"/>
  <c r="E24" i="56"/>
  <c r="H24" i="56"/>
  <c r="J24" i="56"/>
  <c r="E25" i="56"/>
  <c r="H25" i="56"/>
  <c r="J25" i="56"/>
  <c r="E18" i="56"/>
  <c r="H18" i="56"/>
  <c r="J18" i="56"/>
  <c r="F1" i="105"/>
  <c r="Z2" i="105"/>
  <c r="AB2" i="105"/>
  <c r="D11" i="13"/>
  <c r="D16" i="13"/>
  <c r="E16" i="13"/>
  <c r="H16" i="13"/>
  <c r="D16" i="56"/>
  <c r="D13" i="56"/>
  <c r="D17" i="56"/>
  <c r="D15" i="56"/>
  <c r="D12" i="56"/>
  <c r="D14" i="56"/>
  <c r="E14" i="56"/>
  <c r="H14" i="56"/>
  <c r="F33" i="105"/>
  <c r="Z33" i="105"/>
  <c r="F21" i="105"/>
  <c r="Z21" i="105"/>
  <c r="F34" i="105"/>
  <c r="Z34" i="105"/>
  <c r="F38" i="105"/>
  <c r="Z38" i="105"/>
  <c r="F23" i="105"/>
  <c r="Z23" i="105"/>
  <c r="F25" i="105"/>
  <c r="Z25" i="105"/>
  <c r="F37" i="105"/>
  <c r="Z37" i="105"/>
  <c r="F41" i="105"/>
  <c r="Z41" i="105"/>
  <c r="F14" i="105"/>
  <c r="Z14" i="105"/>
  <c r="F22" i="105"/>
  <c r="Z22" i="105"/>
  <c r="F24" i="105"/>
  <c r="Z24" i="105"/>
  <c r="F39" i="105"/>
  <c r="Z39" i="105"/>
  <c r="Z1" i="105"/>
  <c r="D13" i="13"/>
  <c r="D11" i="60"/>
  <c r="D12" i="13"/>
  <c r="D17" i="13"/>
  <c r="D14" i="13"/>
  <c r="D15" i="13"/>
  <c r="D16" i="60"/>
  <c r="H11" i="60"/>
  <c r="O11" i="105"/>
  <c r="G11" i="105"/>
  <c r="Q7" i="105"/>
  <c r="I7" i="105"/>
  <c r="T6" i="105"/>
  <c r="L6" i="105"/>
  <c r="W5" i="105"/>
  <c r="S5" i="105"/>
  <c r="M5" i="105"/>
  <c r="I5" i="105"/>
  <c r="W7" i="105"/>
  <c r="M7" i="105"/>
  <c r="X6" i="105"/>
  <c r="P6" i="105"/>
  <c r="H6" i="105"/>
  <c r="U5" i="105"/>
  <c r="Q5" i="105"/>
  <c r="K5" i="105"/>
  <c r="Y5" i="105"/>
  <c r="N6" i="105"/>
  <c r="V6" i="105"/>
  <c r="K7" i="105"/>
  <c r="S7" i="105"/>
  <c r="G5" i="105"/>
  <c r="Y7" i="105"/>
  <c r="W11" i="105"/>
  <c r="I8" i="105"/>
  <c r="M8" i="105"/>
  <c r="Q8" i="105"/>
  <c r="U8" i="105"/>
  <c r="Y8" i="105"/>
  <c r="J8" i="105"/>
  <c r="N8" i="105"/>
  <c r="R8" i="105"/>
  <c r="V8" i="105"/>
  <c r="F8" i="105"/>
  <c r="V10" i="105"/>
  <c r="F5" i="105"/>
  <c r="I9" i="105"/>
  <c r="M9" i="105"/>
  <c r="Q9" i="105"/>
  <c r="U9" i="105"/>
  <c r="Y9" i="105"/>
  <c r="J9" i="105"/>
  <c r="N9" i="105"/>
  <c r="R9" i="105"/>
  <c r="V9" i="105"/>
  <c r="F9" i="105"/>
  <c r="S11" i="105"/>
  <c r="O5" i="105"/>
  <c r="L10" i="105"/>
  <c r="T10" i="105"/>
  <c r="I11" i="105"/>
  <c r="Q11" i="105"/>
  <c r="Y11" i="105"/>
  <c r="AB1" i="105"/>
  <c r="F7" i="105"/>
  <c r="R5" i="105"/>
  <c r="N5" i="105"/>
  <c r="O6" i="105"/>
  <c r="T5" i="105"/>
  <c r="W6" i="105"/>
  <c r="K6" i="105"/>
  <c r="H7" i="105"/>
  <c r="M6" i="105"/>
  <c r="U6" i="105"/>
  <c r="P7" i="105"/>
  <c r="V7" i="105"/>
  <c r="N7" i="105"/>
  <c r="T7" i="105"/>
  <c r="G10" i="105"/>
  <c r="K10" i="105"/>
  <c r="S10" i="105"/>
  <c r="V11" i="105"/>
  <c r="M10" i="105"/>
  <c r="U10" i="105"/>
  <c r="R11" i="105"/>
  <c r="W10" i="105"/>
  <c r="L11" i="105"/>
  <c r="T11" i="105"/>
  <c r="J6" i="105"/>
  <c r="R6" i="105"/>
  <c r="G7" i="105"/>
  <c r="O7" i="105"/>
  <c r="J10" i="105"/>
  <c r="U7" i="105"/>
  <c r="R10" i="105"/>
  <c r="G8" i="105"/>
  <c r="K8" i="105"/>
  <c r="O8" i="105"/>
  <c r="S8" i="105"/>
  <c r="W8" i="105"/>
  <c r="H8" i="105"/>
  <c r="L8" i="105"/>
  <c r="P8" i="105"/>
  <c r="T8" i="105"/>
  <c r="X8" i="105"/>
  <c r="N10" i="105"/>
  <c r="K11" i="105"/>
  <c r="G9" i="105"/>
  <c r="K9" i="105"/>
  <c r="O9" i="105"/>
  <c r="S9" i="105"/>
  <c r="W9" i="105"/>
  <c r="H9" i="105"/>
  <c r="L9" i="105"/>
  <c r="P9" i="105"/>
  <c r="T9" i="105"/>
  <c r="X9" i="105"/>
  <c r="F10" i="105"/>
  <c r="H10" i="105"/>
  <c r="P10" i="105"/>
  <c r="X10" i="105"/>
  <c r="M11" i="105"/>
  <c r="U11" i="105"/>
  <c r="F6" i="105"/>
  <c r="L5" i="105"/>
  <c r="H5" i="105"/>
  <c r="J5" i="105"/>
  <c r="V5" i="105"/>
  <c r="P5" i="105"/>
  <c r="G6" i="105"/>
  <c r="X5" i="105"/>
  <c r="S6" i="105"/>
  <c r="I6" i="105"/>
  <c r="Q6" i="105"/>
  <c r="Y6" i="105"/>
  <c r="L7" i="105"/>
  <c r="J7" i="105"/>
  <c r="R7" i="105"/>
  <c r="X7" i="105"/>
  <c r="O10" i="105"/>
  <c r="Y10" i="105"/>
  <c r="N11" i="105"/>
  <c r="I10" i="105"/>
  <c r="Q10" i="105"/>
  <c r="J11" i="105"/>
  <c r="F11" i="105"/>
  <c r="H11" i="105"/>
  <c r="P11" i="105"/>
  <c r="X11" i="105"/>
  <c r="D14" i="60"/>
  <c r="H14" i="60"/>
  <c r="D11" i="14"/>
  <c r="D16" i="14"/>
  <c r="E16" i="14"/>
  <c r="H16" i="14"/>
  <c r="D13" i="60"/>
  <c r="H13" i="60"/>
  <c r="D17" i="60"/>
  <c r="H17" i="60"/>
  <c r="D15" i="60"/>
  <c r="H15" i="60"/>
  <c r="D12" i="60"/>
  <c r="H12" i="60"/>
  <c r="E16" i="60"/>
  <c r="H16" i="60"/>
  <c r="H18" i="60"/>
  <c r="V12" i="105"/>
  <c r="V46" i="105"/>
  <c r="Z11" i="105"/>
  <c r="H12" i="105"/>
  <c r="H46" i="105"/>
  <c r="Z6" i="105"/>
  <c r="Z10" i="105"/>
  <c r="R12" i="105"/>
  <c r="R46" i="105"/>
  <c r="O12" i="105"/>
  <c r="O46" i="105"/>
  <c r="Z9" i="105"/>
  <c r="Z5" i="105"/>
  <c r="F12" i="105"/>
  <c r="Z8" i="105"/>
  <c r="G12" i="105"/>
  <c r="G46" i="105"/>
  <c r="K12" i="105"/>
  <c r="K46" i="105"/>
  <c r="U12" i="105"/>
  <c r="U46" i="105"/>
  <c r="I12" i="105"/>
  <c r="I46" i="105"/>
  <c r="S12" i="105"/>
  <c r="S46" i="105"/>
  <c r="X12" i="105"/>
  <c r="X46" i="105"/>
  <c r="P12" i="105"/>
  <c r="P46" i="105"/>
  <c r="J12" i="105"/>
  <c r="J46" i="105"/>
  <c r="L12" i="105"/>
  <c r="L46" i="105"/>
  <c r="T12" i="105"/>
  <c r="T46" i="105"/>
  <c r="N12" i="105"/>
  <c r="N46" i="105"/>
  <c r="Z7" i="105"/>
  <c r="Y12" i="105"/>
  <c r="Y46" i="105"/>
  <c r="Q12" i="105"/>
  <c r="Q46" i="105"/>
  <c r="M12" i="105"/>
  <c r="W12" i="105"/>
  <c r="W46" i="105"/>
  <c r="D11" i="64"/>
  <c r="D17" i="14"/>
  <c r="D14" i="14"/>
  <c r="D12" i="14"/>
  <c r="D13" i="14"/>
  <c r="E22" i="14"/>
  <c r="H22" i="14"/>
  <c r="D15" i="14"/>
  <c r="J22" i="14"/>
  <c r="J23" i="14"/>
  <c r="I47" i="105"/>
  <c r="I48" i="105"/>
  <c r="D14" i="64"/>
  <c r="H11" i="64"/>
  <c r="Z12" i="105"/>
  <c r="D15" i="64"/>
  <c r="H15" i="64"/>
  <c r="D11" i="66"/>
  <c r="D12" i="64"/>
  <c r="H12" i="64"/>
  <c r="D16" i="64"/>
  <c r="H16" i="64"/>
  <c r="D13" i="64"/>
  <c r="H13" i="64"/>
  <c r="D17" i="64"/>
  <c r="H17" i="64"/>
  <c r="D18" i="64"/>
  <c r="C18" i="64"/>
  <c r="D14" i="66"/>
  <c r="H11" i="66"/>
  <c r="E14" i="64"/>
  <c r="H14" i="64"/>
  <c r="D13" i="66"/>
  <c r="H13" i="66"/>
  <c r="D15" i="66"/>
  <c r="H15" i="66"/>
  <c r="D12" i="66"/>
  <c r="H12" i="66"/>
  <c r="D11" i="68"/>
  <c r="D16" i="66"/>
  <c r="H16" i="66"/>
  <c r="D17" i="66"/>
  <c r="H17" i="66"/>
  <c r="G20" i="5"/>
  <c r="H20" i="5"/>
  <c r="J20" i="5"/>
  <c r="G19" i="5"/>
  <c r="H19" i="5"/>
  <c r="J19" i="5"/>
  <c r="G18" i="5"/>
  <c r="H18" i="5"/>
  <c r="G22" i="60"/>
  <c r="I6" i="14"/>
  <c r="I6" i="64"/>
  <c r="I6" i="66"/>
  <c r="I6" i="68"/>
  <c r="I6" i="18"/>
  <c r="I6" i="1"/>
  <c r="I6" i="4"/>
  <c r="I6" i="5"/>
  <c r="I6" i="7"/>
  <c r="I6" i="8"/>
  <c r="I6" i="9"/>
  <c r="I6" i="10"/>
  <c r="I6" i="11"/>
  <c r="I6" i="12"/>
  <c r="I6" i="15"/>
  <c r="I6" i="16"/>
  <c r="I6" i="17"/>
  <c r="I6" i="60"/>
  <c r="D14" i="68"/>
  <c r="H11" i="68"/>
  <c r="E14" i="66"/>
  <c r="H14" i="66"/>
  <c r="H18" i="66"/>
  <c r="J18" i="5"/>
  <c r="J21" i="5"/>
  <c r="P47" i="105"/>
  <c r="P48" i="105"/>
  <c r="H23" i="60"/>
  <c r="G27" i="14"/>
  <c r="G36" i="64"/>
  <c r="G22" i="66"/>
  <c r="D13" i="68"/>
  <c r="H13" i="68"/>
  <c r="D17" i="68"/>
  <c r="H17" i="68"/>
  <c r="D15" i="68"/>
  <c r="H15" i="68"/>
  <c r="D16" i="68"/>
  <c r="H16" i="68"/>
  <c r="D12" i="68"/>
  <c r="H12" i="68"/>
  <c r="D11" i="18"/>
  <c r="H37" i="64"/>
  <c r="D11" i="110"/>
  <c r="D15" i="110"/>
  <c r="E15" i="110"/>
  <c r="H15" i="110"/>
  <c r="D11" i="114"/>
  <c r="D11" i="112"/>
  <c r="D11" i="116"/>
  <c r="D15" i="18"/>
  <c r="E15" i="18"/>
  <c r="H15" i="18"/>
  <c r="D11" i="16"/>
  <c r="D11" i="12"/>
  <c r="D11" i="9"/>
  <c r="D11" i="4"/>
  <c r="D11" i="17"/>
  <c r="D11" i="15"/>
  <c r="D11" i="11"/>
  <c r="D11" i="10"/>
  <c r="D11" i="5"/>
  <c r="E14" i="68"/>
  <c r="H14" i="68"/>
  <c r="H23" i="68"/>
  <c r="D12" i="18"/>
  <c r="D14" i="18"/>
  <c r="D11" i="1"/>
  <c r="D13" i="18"/>
  <c r="D16" i="18"/>
  <c r="D17" i="18"/>
  <c r="G26" i="18"/>
  <c r="G25" i="1"/>
  <c r="G24" i="4"/>
  <c r="G25" i="5"/>
  <c r="G26" i="7"/>
  <c r="G26" i="8"/>
  <c r="G22" i="9"/>
  <c r="G22" i="10"/>
  <c r="G22" i="11"/>
  <c r="G22" i="12"/>
  <c r="G23" i="15"/>
  <c r="G22" i="16"/>
  <c r="G22" i="17"/>
  <c r="H23" i="66"/>
  <c r="E11" i="110"/>
  <c r="H11" i="110"/>
  <c r="D13" i="110"/>
  <c r="E13" i="110"/>
  <c r="H13" i="110"/>
  <c r="D14" i="110"/>
  <c r="E14" i="110"/>
  <c r="H14" i="110"/>
  <c r="D17" i="110"/>
  <c r="E17" i="110"/>
  <c r="H17" i="110"/>
  <c r="D12" i="110"/>
  <c r="E12" i="110"/>
  <c r="H12" i="110"/>
  <c r="D16" i="110"/>
  <c r="E16" i="110"/>
  <c r="H16" i="110"/>
  <c r="D14" i="116"/>
  <c r="E14" i="116"/>
  <c r="H14" i="116"/>
  <c r="D15" i="116"/>
  <c r="E15" i="116"/>
  <c r="H15" i="116"/>
  <c r="D17" i="116"/>
  <c r="E17" i="116"/>
  <c r="H17" i="116"/>
  <c r="D13" i="116"/>
  <c r="E13" i="116"/>
  <c r="H13" i="116"/>
  <c r="D12" i="116"/>
  <c r="E12" i="116"/>
  <c r="H12" i="116"/>
  <c r="D16" i="116"/>
  <c r="E16" i="116"/>
  <c r="H16" i="116"/>
  <c r="E11" i="116"/>
  <c r="H11" i="116"/>
  <c r="D14" i="114"/>
  <c r="E14" i="114"/>
  <c r="H14" i="114"/>
  <c r="D13" i="114"/>
  <c r="E13" i="114"/>
  <c r="H13" i="114"/>
  <c r="D16" i="114"/>
  <c r="E16" i="114"/>
  <c r="H16" i="114"/>
  <c r="E11" i="114"/>
  <c r="H11" i="114"/>
  <c r="D15" i="114"/>
  <c r="E15" i="114"/>
  <c r="H15" i="114"/>
  <c r="D17" i="114"/>
  <c r="E17" i="114"/>
  <c r="H17" i="114"/>
  <c r="D12" i="114"/>
  <c r="E12" i="114"/>
  <c r="H12" i="114"/>
  <c r="D14" i="112"/>
  <c r="E14" i="112"/>
  <c r="H14" i="112"/>
  <c r="D13" i="112"/>
  <c r="E13" i="112"/>
  <c r="H13" i="112"/>
  <c r="D16" i="112"/>
  <c r="E16" i="112"/>
  <c r="H16" i="112"/>
  <c r="E11" i="112"/>
  <c r="H11" i="112"/>
  <c r="D15" i="112"/>
  <c r="E15" i="112"/>
  <c r="H15" i="112"/>
  <c r="D17" i="112"/>
  <c r="E17" i="112"/>
  <c r="H17" i="112"/>
  <c r="D12" i="112"/>
  <c r="E12" i="112"/>
  <c r="H12" i="112"/>
  <c r="D17" i="10"/>
  <c r="E17" i="10"/>
  <c r="H17" i="10"/>
  <c r="D12" i="10"/>
  <c r="E12" i="10"/>
  <c r="H12" i="10"/>
  <c r="D16" i="10"/>
  <c r="E16" i="10"/>
  <c r="H16" i="10"/>
  <c r="D15" i="10"/>
  <c r="E15" i="10"/>
  <c r="H15" i="10"/>
  <c r="E11" i="10"/>
  <c r="H11" i="10"/>
  <c r="D14" i="10"/>
  <c r="E14" i="10"/>
  <c r="H14" i="10"/>
  <c r="D13" i="10"/>
  <c r="E13" i="10"/>
  <c r="H13" i="10"/>
  <c r="D16" i="15"/>
  <c r="E16" i="15"/>
  <c r="H16" i="15"/>
  <c r="D13" i="15"/>
  <c r="E13" i="15"/>
  <c r="H13" i="15"/>
  <c r="D17" i="15"/>
  <c r="E17" i="15"/>
  <c r="H17" i="15"/>
  <c r="D14" i="15"/>
  <c r="E14" i="15"/>
  <c r="H14" i="15"/>
  <c r="E11" i="15"/>
  <c r="H11" i="15"/>
  <c r="D15" i="15"/>
  <c r="E15" i="15"/>
  <c r="H15" i="15"/>
  <c r="D12" i="15"/>
  <c r="E12" i="15"/>
  <c r="H12" i="15"/>
  <c r="D16" i="4"/>
  <c r="E16" i="4"/>
  <c r="H16" i="4"/>
  <c r="E11" i="4"/>
  <c r="H11" i="4"/>
  <c r="D13" i="4"/>
  <c r="E13" i="4"/>
  <c r="H13" i="4"/>
  <c r="D17" i="4"/>
  <c r="E17" i="4"/>
  <c r="H17" i="4"/>
  <c r="D14" i="4"/>
  <c r="E14" i="4"/>
  <c r="H14" i="4"/>
  <c r="D15" i="4"/>
  <c r="E15" i="4"/>
  <c r="H15" i="4"/>
  <c r="D12" i="4"/>
  <c r="E12" i="4"/>
  <c r="H12" i="4"/>
  <c r="D17" i="12"/>
  <c r="E17" i="12"/>
  <c r="H17" i="12"/>
  <c r="E11" i="12"/>
  <c r="H11" i="12"/>
  <c r="D12" i="12"/>
  <c r="E12" i="12"/>
  <c r="H12" i="12"/>
  <c r="D16" i="12"/>
  <c r="E16" i="12"/>
  <c r="H16" i="12"/>
  <c r="D15" i="12"/>
  <c r="E15" i="12"/>
  <c r="H15" i="12"/>
  <c r="D14" i="12"/>
  <c r="E14" i="12"/>
  <c r="H14" i="12"/>
  <c r="D13" i="12"/>
  <c r="E13" i="12"/>
  <c r="H13" i="12"/>
  <c r="D12" i="8"/>
  <c r="D12" i="7"/>
  <c r="D16" i="5"/>
  <c r="E16" i="5"/>
  <c r="H16" i="5"/>
  <c r="E11" i="5"/>
  <c r="H11" i="5"/>
  <c r="D15" i="5"/>
  <c r="E15" i="5"/>
  <c r="H15" i="5"/>
  <c r="D12" i="5"/>
  <c r="E12" i="5"/>
  <c r="H12" i="5"/>
  <c r="D14" i="5"/>
  <c r="E14" i="5"/>
  <c r="H14" i="5"/>
  <c r="D13" i="5"/>
  <c r="E13" i="5"/>
  <c r="H13" i="5"/>
  <c r="D17" i="5"/>
  <c r="E17" i="5"/>
  <c r="H17" i="5"/>
  <c r="D17" i="11"/>
  <c r="E17" i="11"/>
  <c r="H17" i="11"/>
  <c r="E11" i="11"/>
  <c r="H11" i="11"/>
  <c r="D12" i="11"/>
  <c r="E12" i="11"/>
  <c r="H12" i="11"/>
  <c r="D16" i="11"/>
  <c r="E16" i="11"/>
  <c r="H16" i="11"/>
  <c r="D15" i="11"/>
  <c r="E15" i="11"/>
  <c r="H15" i="11"/>
  <c r="D14" i="11"/>
  <c r="E14" i="11"/>
  <c r="H14" i="11"/>
  <c r="D13" i="11"/>
  <c r="E13" i="11"/>
  <c r="H13" i="11"/>
  <c r="D17" i="17"/>
  <c r="E17" i="17"/>
  <c r="H17" i="17"/>
  <c r="E11" i="17"/>
  <c r="H11" i="17"/>
  <c r="D12" i="17"/>
  <c r="E12" i="17"/>
  <c r="H12" i="17"/>
  <c r="D16" i="17"/>
  <c r="E16" i="17"/>
  <c r="H16" i="17"/>
  <c r="D15" i="17"/>
  <c r="E15" i="17"/>
  <c r="H15" i="17"/>
  <c r="D14" i="17"/>
  <c r="E14" i="17"/>
  <c r="H14" i="17"/>
  <c r="D13" i="17"/>
  <c r="E13" i="17"/>
  <c r="H13" i="17"/>
  <c r="D16" i="9"/>
  <c r="E16" i="9"/>
  <c r="H16" i="9"/>
  <c r="D13" i="9"/>
  <c r="E13" i="9"/>
  <c r="H13" i="9"/>
  <c r="D17" i="9"/>
  <c r="E17" i="9"/>
  <c r="H17" i="9"/>
  <c r="D14" i="9"/>
  <c r="E14" i="9"/>
  <c r="H14" i="9"/>
  <c r="E11" i="9"/>
  <c r="H11" i="9"/>
  <c r="D15" i="9"/>
  <c r="E15" i="9"/>
  <c r="H15" i="9"/>
  <c r="D12" i="9"/>
  <c r="E12" i="9"/>
  <c r="H12" i="9"/>
  <c r="D17" i="16"/>
  <c r="E17" i="16"/>
  <c r="H17" i="16"/>
  <c r="D12" i="16"/>
  <c r="E12" i="16"/>
  <c r="H12" i="16"/>
  <c r="D16" i="16"/>
  <c r="E16" i="16"/>
  <c r="H16" i="16"/>
  <c r="D15" i="16"/>
  <c r="E15" i="16"/>
  <c r="H15" i="16"/>
  <c r="E11" i="16"/>
  <c r="H11" i="16"/>
  <c r="D14" i="16"/>
  <c r="E14" i="16"/>
  <c r="H14" i="16"/>
  <c r="D13" i="16"/>
  <c r="E13" i="16"/>
  <c r="H13" i="16"/>
  <c r="D16" i="1"/>
  <c r="D12" i="1"/>
  <c r="D15" i="1"/>
  <c r="D14" i="1"/>
  <c r="D17" i="1"/>
  <c r="D13" i="1"/>
  <c r="H18" i="16"/>
  <c r="H18" i="11"/>
  <c r="H18" i="12"/>
  <c r="H18" i="10"/>
  <c r="H18" i="9"/>
  <c r="H18" i="17"/>
  <c r="H21" i="5"/>
  <c r="H19" i="15"/>
  <c r="H18" i="110"/>
  <c r="C6" i="111"/>
  <c r="H18" i="116"/>
  <c r="C6" i="117"/>
  <c r="H18" i="112"/>
  <c r="H18" i="114"/>
  <c r="E12" i="7"/>
  <c r="H12" i="7"/>
  <c r="D15" i="7"/>
  <c r="E15" i="7"/>
  <c r="H15" i="7"/>
  <c r="D17" i="7"/>
  <c r="E17" i="7"/>
  <c r="H17" i="7"/>
  <c r="D13" i="7"/>
  <c r="E13" i="7"/>
  <c r="H13" i="7"/>
  <c r="D14" i="7"/>
  <c r="E14" i="7"/>
  <c r="H14" i="7"/>
  <c r="D16" i="7"/>
  <c r="E16" i="7"/>
  <c r="H16" i="7"/>
  <c r="D18" i="7"/>
  <c r="E18" i="7"/>
  <c r="H18" i="7"/>
  <c r="D17" i="8"/>
  <c r="E17" i="8"/>
  <c r="H17" i="8"/>
  <c r="E12" i="8"/>
  <c r="H12" i="8"/>
  <c r="D14" i="8"/>
  <c r="E14" i="8"/>
  <c r="H14" i="8"/>
  <c r="D18" i="8"/>
  <c r="E18" i="8"/>
  <c r="H18" i="8"/>
  <c r="D15" i="8"/>
  <c r="E15" i="8"/>
  <c r="H15" i="8"/>
  <c r="D16" i="8"/>
  <c r="E16" i="8"/>
  <c r="H16" i="8"/>
  <c r="D13" i="8"/>
  <c r="E13" i="8"/>
  <c r="H13" i="8"/>
  <c r="E26" i="103"/>
  <c r="E28" i="103"/>
  <c r="E20" i="103"/>
  <c r="H21" i="7"/>
  <c r="H53" i="116"/>
  <c r="H24" i="114"/>
  <c r="L23" i="123"/>
  <c r="C6" i="115"/>
  <c r="H24" i="112"/>
  <c r="C6" i="113"/>
  <c r="H37" i="103"/>
  <c r="F26" i="103"/>
  <c r="F28" i="103"/>
  <c r="F20" i="103"/>
  <c r="D26" i="103"/>
  <c r="D28" i="103"/>
  <c r="C26" i="103"/>
  <c r="C28" i="103"/>
  <c r="B26" i="103"/>
  <c r="B28" i="103"/>
  <c r="D20" i="103"/>
  <c r="C20" i="103"/>
  <c r="B20" i="103"/>
  <c r="J55" i="116"/>
  <c r="L46" i="124"/>
  <c r="B30" i="103"/>
  <c r="B32" i="103"/>
  <c r="G20" i="103"/>
  <c r="J20" i="103"/>
  <c r="G28" i="103"/>
  <c r="H28" i="103"/>
  <c r="C30" i="103"/>
  <c r="K30" i="103"/>
  <c r="H20" i="103"/>
  <c r="G34" i="103"/>
  <c r="J28" i="103"/>
  <c r="B31" i="103"/>
  <c r="K31" i="103"/>
  <c r="H25" i="103"/>
  <c r="F6" i="56"/>
  <c r="F6" i="14"/>
  <c r="F6" i="64"/>
  <c r="F6" i="66"/>
  <c r="F6" i="68"/>
  <c r="F6" i="18"/>
  <c r="F6" i="1"/>
  <c r="F6" i="4"/>
  <c r="F6" i="5"/>
  <c r="F6" i="7"/>
  <c r="F6" i="8"/>
  <c r="F6" i="9"/>
  <c r="F6" i="10"/>
  <c r="F6" i="11"/>
  <c r="F6" i="12"/>
  <c r="F6" i="15"/>
  <c r="F6" i="16"/>
  <c r="F6" i="17"/>
  <c r="R4" i="76"/>
  <c r="G6" i="56"/>
  <c r="R24" i="76"/>
  <c r="S24" i="76"/>
  <c r="R6" i="76"/>
  <c r="J25" i="103"/>
  <c r="F6" i="13"/>
  <c r="F6" i="60"/>
  <c r="G6" i="13"/>
  <c r="G6" i="14"/>
  <c r="R11" i="76"/>
  <c r="S11" i="76"/>
  <c r="R10" i="76"/>
  <c r="S10" i="76"/>
  <c r="R17" i="76"/>
  <c r="S17" i="76"/>
  <c r="B9" i="31"/>
  <c r="B8" i="31"/>
  <c r="A76" i="50"/>
  <c r="A99" i="31"/>
  <c r="B76" i="50"/>
  <c r="B99" i="31"/>
  <c r="C76" i="50"/>
  <c r="D76" i="50"/>
  <c r="F76" i="50"/>
  <c r="A78" i="50"/>
  <c r="A100" i="31"/>
  <c r="B78" i="50"/>
  <c r="B100" i="31"/>
  <c r="C78" i="50"/>
  <c r="D78" i="50"/>
  <c r="F78" i="50"/>
  <c r="A79" i="50"/>
  <c r="A68" i="31"/>
  <c r="A75" i="47"/>
  <c r="B79" i="50"/>
  <c r="B68" i="31"/>
  <c r="B75" i="47"/>
  <c r="A50" i="50"/>
  <c r="A49" i="31"/>
  <c r="A56" i="47"/>
  <c r="B50" i="50"/>
  <c r="B49" i="31"/>
  <c r="B56" i="47"/>
  <c r="A51" i="50"/>
  <c r="A50" i="31"/>
  <c r="A57" i="47"/>
  <c r="B51" i="50"/>
  <c r="B50" i="31"/>
  <c r="B57" i="47"/>
  <c r="A52" i="50"/>
  <c r="A51" i="31"/>
  <c r="A58" i="47"/>
  <c r="B52" i="50"/>
  <c r="B51" i="31"/>
  <c r="B58" i="47"/>
  <c r="A53" i="50"/>
  <c r="A91" i="31"/>
  <c r="B53" i="50"/>
  <c r="B91" i="31"/>
  <c r="C53" i="50"/>
  <c r="A54" i="50"/>
  <c r="A92" i="31"/>
  <c r="B54" i="50"/>
  <c r="B92" i="31"/>
  <c r="C54" i="50"/>
  <c r="A55" i="50"/>
  <c r="A52" i="31"/>
  <c r="A59" i="47"/>
  <c r="B55" i="50"/>
  <c r="B52" i="31"/>
  <c r="B59" i="47"/>
  <c r="A56" i="50"/>
  <c r="A93" i="31"/>
  <c r="B56" i="50"/>
  <c r="B93" i="31"/>
  <c r="C56" i="50"/>
  <c r="A57" i="50"/>
  <c r="A53" i="31"/>
  <c r="A60" i="47"/>
  <c r="B57" i="50"/>
  <c r="B53" i="31"/>
  <c r="B60" i="47"/>
  <c r="A58" i="50"/>
  <c r="A54" i="31"/>
  <c r="A61" i="47"/>
  <c r="B58" i="50"/>
  <c r="B54" i="31"/>
  <c r="B61" i="47"/>
  <c r="A59" i="50"/>
  <c r="A55" i="31"/>
  <c r="A62" i="47"/>
  <c r="B59" i="50"/>
  <c r="B55" i="31"/>
  <c r="B62" i="47"/>
  <c r="A60" i="50"/>
  <c r="A94" i="31"/>
  <c r="B60" i="50"/>
  <c r="B94" i="31"/>
  <c r="C60" i="50"/>
  <c r="D60" i="50"/>
  <c r="F60" i="50"/>
  <c r="A61" i="50"/>
  <c r="A56" i="31"/>
  <c r="A63" i="47"/>
  <c r="B61" i="50"/>
  <c r="B56" i="31"/>
  <c r="B63" i="47"/>
  <c r="A62" i="50"/>
  <c r="A95" i="31"/>
  <c r="B62" i="50"/>
  <c r="B95" i="31"/>
  <c r="C62" i="50"/>
  <c r="A63" i="50"/>
  <c r="A96" i="31"/>
  <c r="B63" i="50"/>
  <c r="B96" i="31"/>
  <c r="C63" i="50"/>
  <c r="A64" i="50"/>
  <c r="A57" i="31"/>
  <c r="A64" i="47"/>
  <c r="B64" i="50"/>
  <c r="B57" i="31"/>
  <c r="B64" i="47"/>
  <c r="A65" i="50"/>
  <c r="A58" i="31"/>
  <c r="A65" i="47"/>
  <c r="B65" i="50"/>
  <c r="B58" i="31"/>
  <c r="B65" i="47"/>
  <c r="A66" i="50"/>
  <c r="A59" i="31"/>
  <c r="A66" i="47"/>
  <c r="B66" i="50"/>
  <c r="B59" i="31"/>
  <c r="B66" i="47"/>
  <c r="A67" i="50"/>
  <c r="A60" i="31"/>
  <c r="A67" i="47"/>
  <c r="B67" i="50"/>
  <c r="B60" i="31"/>
  <c r="B67" i="47"/>
  <c r="A68" i="50"/>
  <c r="A61" i="31"/>
  <c r="A68" i="47"/>
  <c r="B68" i="50"/>
  <c r="B61" i="31"/>
  <c r="B68" i="47"/>
  <c r="A69" i="50"/>
  <c r="A62" i="31"/>
  <c r="A69" i="47"/>
  <c r="B69" i="50"/>
  <c r="B62" i="31"/>
  <c r="B69" i="47"/>
  <c r="A70" i="50"/>
  <c r="A63" i="31"/>
  <c r="A70" i="47"/>
  <c r="B70" i="50"/>
  <c r="B63" i="31"/>
  <c r="B70" i="47"/>
  <c r="A71" i="50"/>
  <c r="A64" i="31"/>
  <c r="A71" i="47"/>
  <c r="B71" i="50"/>
  <c r="B64" i="31"/>
  <c r="B71" i="47"/>
  <c r="A72" i="50"/>
  <c r="A65" i="31"/>
  <c r="A72" i="47"/>
  <c r="B72" i="50"/>
  <c r="B65" i="31"/>
  <c r="B72" i="47"/>
  <c r="A73" i="50"/>
  <c r="A97" i="31"/>
  <c r="B73" i="50"/>
  <c r="B97" i="31"/>
  <c r="A74" i="50"/>
  <c r="A98" i="31"/>
  <c r="B74" i="50"/>
  <c r="B98" i="31"/>
  <c r="C74" i="50"/>
  <c r="D74" i="50"/>
  <c r="F74" i="50"/>
  <c r="A75" i="50"/>
  <c r="A66" i="31"/>
  <c r="A73" i="47"/>
  <c r="B75" i="50"/>
  <c r="B66" i="31"/>
  <c r="B73" i="47"/>
  <c r="C49" i="50"/>
  <c r="B49" i="50"/>
  <c r="B90" i="31"/>
  <c r="A49" i="50"/>
  <c r="A90" i="31"/>
  <c r="B44" i="50"/>
  <c r="B45" i="50"/>
  <c r="B46" i="50"/>
  <c r="B43" i="50"/>
  <c r="A44" i="50"/>
  <c r="A45" i="50"/>
  <c r="A46" i="50"/>
  <c r="A43" i="50"/>
  <c r="B23" i="50"/>
  <c r="B24" i="50"/>
  <c r="B25" i="50"/>
  <c r="B26" i="50"/>
  <c r="B27" i="50"/>
  <c r="B28" i="50"/>
  <c r="B29" i="50"/>
  <c r="B22" i="50"/>
  <c r="B14" i="50"/>
  <c r="B39" i="50"/>
  <c r="A40" i="50"/>
  <c r="A39" i="50"/>
  <c r="A33" i="50"/>
  <c r="A34" i="50"/>
  <c r="A35" i="50"/>
  <c r="A36" i="50"/>
  <c r="A32" i="50"/>
  <c r="A23" i="50"/>
  <c r="A24" i="50"/>
  <c r="A25" i="50"/>
  <c r="A26" i="50"/>
  <c r="A27" i="50"/>
  <c r="A28" i="50"/>
  <c r="A29" i="50"/>
  <c r="A22" i="50"/>
  <c r="A14" i="50"/>
  <c r="A15" i="50"/>
  <c r="A16" i="50"/>
  <c r="A17" i="50"/>
  <c r="A18" i="50"/>
  <c r="A19" i="50"/>
  <c r="A13" i="50"/>
  <c r="A7" i="50"/>
  <c r="A8" i="50"/>
  <c r="A9" i="50"/>
  <c r="A10" i="50"/>
  <c r="A6" i="50"/>
  <c r="C10" i="50"/>
  <c r="D10" i="50"/>
  <c r="F10" i="50"/>
  <c r="C79" i="53"/>
  <c r="C75" i="50"/>
  <c r="D75" i="50"/>
  <c r="F75" i="50"/>
  <c r="C67" i="53"/>
  <c r="C66" i="50"/>
  <c r="C74" i="53"/>
  <c r="C71" i="50"/>
  <c r="D71" i="50"/>
  <c r="F71" i="50"/>
  <c r="C71" i="53"/>
  <c r="C68" i="50"/>
  <c r="D68" i="50"/>
  <c r="F68" i="50"/>
  <c r="C65" i="53"/>
  <c r="C64" i="50"/>
  <c r="G6" i="64"/>
  <c r="G6" i="60"/>
  <c r="A10" i="31"/>
  <c r="A10" i="47"/>
  <c r="A10" i="107"/>
  <c r="A8" i="31"/>
  <c r="A8" i="47"/>
  <c r="A8" i="107"/>
  <c r="A13" i="31"/>
  <c r="A13" i="107"/>
  <c r="A18" i="31"/>
  <c r="A18" i="107"/>
  <c r="A16" i="31"/>
  <c r="A16" i="107"/>
  <c r="A14" i="31"/>
  <c r="A14" i="107"/>
  <c r="A29" i="31"/>
  <c r="A29" i="107"/>
  <c r="A27" i="31"/>
  <c r="A27" i="107"/>
  <c r="A25" i="31"/>
  <c r="A25" i="107"/>
  <c r="A23" i="31"/>
  <c r="A23" i="107"/>
  <c r="B39" i="31"/>
  <c r="B39" i="107"/>
  <c r="B22" i="31"/>
  <c r="B22" i="107"/>
  <c r="B26" i="31"/>
  <c r="B26" i="107"/>
  <c r="A43" i="31"/>
  <c r="A48" i="47"/>
  <c r="A43" i="107"/>
  <c r="A45" i="31"/>
  <c r="A50" i="47"/>
  <c r="A45" i="107"/>
  <c r="A44" i="31"/>
  <c r="A49" i="47"/>
  <c r="A44" i="107"/>
  <c r="B46" i="31"/>
  <c r="B46" i="107"/>
  <c r="A6" i="31"/>
  <c r="A6" i="47"/>
  <c r="A6" i="107"/>
  <c r="A9" i="31"/>
  <c r="A9" i="47"/>
  <c r="A9" i="107"/>
  <c r="A7" i="31"/>
  <c r="A7" i="47"/>
  <c r="A7" i="107"/>
  <c r="A19" i="31"/>
  <c r="A19" i="107"/>
  <c r="A17" i="31"/>
  <c r="A17" i="107"/>
  <c r="A15" i="31"/>
  <c r="A15" i="107"/>
  <c r="A22" i="31"/>
  <c r="A22" i="107"/>
  <c r="A28" i="31"/>
  <c r="A28" i="107"/>
  <c r="A26" i="31"/>
  <c r="A26" i="107"/>
  <c r="A24" i="31"/>
  <c r="A24" i="107"/>
  <c r="B14" i="31"/>
  <c r="B14" i="107"/>
  <c r="A46" i="31"/>
  <c r="A51" i="47"/>
  <c r="A46" i="107"/>
  <c r="B43" i="31"/>
  <c r="B43" i="107"/>
  <c r="B45" i="31"/>
  <c r="B45" i="107"/>
  <c r="B44" i="31"/>
  <c r="B44" i="107"/>
  <c r="C72" i="53"/>
  <c r="C69" i="50"/>
  <c r="D69" i="50"/>
  <c r="F69" i="50"/>
  <c r="C67" i="50"/>
  <c r="D67" i="50"/>
  <c r="F67" i="50"/>
  <c r="D61" i="53"/>
  <c r="C57" i="50"/>
  <c r="C56" i="53"/>
  <c r="C55" i="50"/>
  <c r="D55" i="50"/>
  <c r="F55" i="50"/>
  <c r="D55" i="53"/>
  <c r="C51" i="53"/>
  <c r="C28" i="53"/>
  <c r="C23" i="53"/>
  <c r="C16" i="53"/>
  <c r="G6" i="66"/>
  <c r="C50" i="50"/>
  <c r="C46" i="50"/>
  <c r="D46" i="50"/>
  <c r="F46" i="50"/>
  <c r="G6" i="68"/>
  <c r="D45" i="53"/>
  <c r="C44" i="50"/>
  <c r="D44" i="50"/>
  <c r="F44" i="50"/>
  <c r="G6" i="18"/>
  <c r="D39" i="53"/>
  <c r="C39" i="53"/>
  <c r="C32" i="53"/>
  <c r="C33" i="53"/>
  <c r="C34" i="53"/>
  <c r="C35" i="53"/>
  <c r="C8" i="53"/>
  <c r="C8" i="50"/>
  <c r="D8" i="50"/>
  <c r="F8" i="50"/>
  <c r="C7" i="50"/>
  <c r="D7" i="50"/>
  <c r="F7" i="50"/>
  <c r="G6" i="1"/>
  <c r="J187" i="102"/>
  <c r="J185" i="102"/>
  <c r="G185" i="102"/>
  <c r="J184" i="102"/>
  <c r="J181" i="102"/>
  <c r="K181" i="102"/>
  <c r="G178" i="102"/>
  <c r="J175" i="102"/>
  <c r="K175" i="102"/>
  <c r="E175" i="102"/>
  <c r="E174" i="102"/>
  <c r="G173" i="102"/>
  <c r="C19" i="53"/>
  <c r="G172" i="102"/>
  <c r="G171" i="102"/>
  <c r="K170" i="102"/>
  <c r="F170" i="102"/>
  <c r="J169" i="102"/>
  <c r="K169" i="102"/>
  <c r="J168" i="102"/>
  <c r="K168" i="102"/>
  <c r="E168" i="102"/>
  <c r="K167" i="102"/>
  <c r="E167" i="102"/>
  <c r="J166" i="102"/>
  <c r="E166" i="102"/>
  <c r="E165" i="102"/>
  <c r="E158" i="102"/>
  <c r="G158" i="102"/>
  <c r="K157" i="102"/>
  <c r="K155" i="102"/>
  <c r="K154" i="102"/>
  <c r="G154" i="102"/>
  <c r="C25" i="53"/>
  <c r="J153" i="102"/>
  <c r="K153" i="102"/>
  <c r="K152" i="102"/>
  <c r="G151" i="102"/>
  <c r="G150" i="102"/>
  <c r="D81" i="53"/>
  <c r="K144" i="102"/>
  <c r="J143" i="102"/>
  <c r="G143" i="102"/>
  <c r="G142" i="102"/>
  <c r="G141" i="102"/>
  <c r="E139" i="102"/>
  <c r="G139" i="102"/>
  <c r="G137" i="102"/>
  <c r="J136" i="102"/>
  <c r="K136" i="102"/>
  <c r="G135" i="102"/>
  <c r="G134" i="102"/>
  <c r="D64" i="53"/>
  <c r="J133" i="102"/>
  <c r="K133" i="102"/>
  <c r="K132" i="102"/>
  <c r="K131" i="102"/>
  <c r="K130" i="102"/>
  <c r="K129" i="102"/>
  <c r="J128" i="102"/>
  <c r="K128" i="102"/>
  <c r="J127" i="102"/>
  <c r="K127" i="102"/>
  <c r="G126" i="102"/>
  <c r="G125" i="102"/>
  <c r="K124" i="102"/>
  <c r="E123" i="102"/>
  <c r="G123" i="102"/>
  <c r="C59" i="53"/>
  <c r="C58" i="50"/>
  <c r="D58" i="50"/>
  <c r="F58" i="50"/>
  <c r="G120" i="102"/>
  <c r="C22" i="53"/>
  <c r="K118" i="102"/>
  <c r="F118" i="102"/>
  <c r="G116" i="102"/>
  <c r="K116" i="102"/>
  <c r="G115" i="102"/>
  <c r="K114" i="102"/>
  <c r="K113" i="102"/>
  <c r="G111" i="102"/>
  <c r="F110" i="102"/>
  <c r="G110" i="102"/>
  <c r="F109" i="102"/>
  <c r="G109" i="102"/>
  <c r="C53" i="53"/>
  <c r="G108" i="102"/>
  <c r="G107" i="102"/>
  <c r="G106" i="102"/>
  <c r="G105" i="102"/>
  <c r="G104" i="102"/>
  <c r="G103" i="102"/>
  <c r="G102" i="102"/>
  <c r="G101" i="102"/>
  <c r="F100" i="102"/>
  <c r="G100" i="102"/>
  <c r="F99" i="102"/>
  <c r="G99" i="102"/>
  <c r="F98" i="102"/>
  <c r="G98" i="102"/>
  <c r="G97" i="102"/>
  <c r="G96" i="102"/>
  <c r="G95" i="102"/>
  <c r="K92" i="102"/>
  <c r="J89" i="102"/>
  <c r="G86" i="102"/>
  <c r="K86" i="102"/>
  <c r="G85" i="102"/>
  <c r="J85" i="102"/>
  <c r="G84" i="102"/>
  <c r="K84" i="102"/>
  <c r="K83" i="102"/>
  <c r="K82" i="102"/>
  <c r="G81" i="102"/>
  <c r="G80" i="102"/>
  <c r="C24" i="53"/>
  <c r="K79" i="102"/>
  <c r="G78" i="102"/>
  <c r="K78" i="102"/>
  <c r="F77" i="102"/>
  <c r="G77" i="102"/>
  <c r="J76" i="102"/>
  <c r="K76" i="102"/>
  <c r="J75" i="102"/>
  <c r="K61" i="102"/>
  <c r="F61" i="102"/>
  <c r="K60" i="102"/>
  <c r="F60" i="102"/>
  <c r="G74" i="102"/>
  <c r="K74" i="102"/>
  <c r="G73" i="102"/>
  <c r="G72" i="102"/>
  <c r="G71" i="102"/>
  <c r="F70" i="102"/>
  <c r="G70" i="102"/>
  <c r="C13" i="53"/>
  <c r="K68" i="102"/>
  <c r="F68" i="102"/>
  <c r="K67" i="102"/>
  <c r="F67" i="102"/>
  <c r="K66" i="102"/>
  <c r="F66" i="102"/>
  <c r="J65" i="102"/>
  <c r="G65" i="102"/>
  <c r="K64" i="102"/>
  <c r="F64" i="102"/>
  <c r="K63" i="102"/>
  <c r="F63" i="102"/>
  <c r="K62" i="102"/>
  <c r="F62" i="102"/>
  <c r="F59" i="102"/>
  <c r="F58" i="102"/>
  <c r="F57" i="102"/>
  <c r="F56" i="102"/>
  <c r="F55" i="102"/>
  <c r="F54" i="102"/>
  <c r="F53" i="102"/>
  <c r="F52" i="102"/>
  <c r="F51" i="102"/>
  <c r="F50" i="102"/>
  <c r="F49" i="102"/>
  <c r="F48" i="102"/>
  <c r="F47" i="102"/>
  <c r="F46" i="102"/>
  <c r="F45" i="102"/>
  <c r="F43" i="102"/>
  <c r="F42" i="102"/>
  <c r="C6" i="53"/>
  <c r="C6" i="50"/>
  <c r="D6" i="50"/>
  <c r="F6" i="50"/>
  <c r="K39" i="102"/>
  <c r="F39" i="102"/>
  <c r="K38" i="102"/>
  <c r="F38" i="102"/>
  <c r="J37" i="102"/>
  <c r="F37" i="102"/>
  <c r="J36" i="102"/>
  <c r="G36" i="102"/>
  <c r="F41" i="53"/>
  <c r="F33" i="102"/>
  <c r="F32" i="102"/>
  <c r="F31" i="102"/>
  <c r="F30" i="102"/>
  <c r="F29" i="102"/>
  <c r="F28" i="102"/>
  <c r="F27" i="102"/>
  <c r="F26" i="102"/>
  <c r="F25" i="102"/>
  <c r="F24" i="102"/>
  <c r="G19" i="102"/>
  <c r="J17" i="102"/>
  <c r="F16" i="102"/>
  <c r="K15" i="102"/>
  <c r="F15" i="102"/>
  <c r="M13" i="102"/>
  <c r="J13" i="102"/>
  <c r="K13" i="102"/>
  <c r="F13" i="102"/>
  <c r="M12" i="102"/>
  <c r="G12" i="102"/>
  <c r="G11" i="102"/>
  <c r="G10" i="102"/>
  <c r="G8" i="102"/>
  <c r="M7" i="102"/>
  <c r="I3" i="102"/>
  <c r="G6" i="4"/>
  <c r="J160" i="102"/>
  <c r="K117" i="102"/>
  <c r="G117" i="102"/>
  <c r="C60" i="53"/>
  <c r="C59" i="50"/>
  <c r="C52" i="50"/>
  <c r="G160" i="102"/>
  <c r="K120" i="102"/>
  <c r="J182" i="102"/>
  <c r="K166" i="102"/>
  <c r="K12" i="102"/>
  <c r="D84" i="53"/>
  <c r="C14" i="53"/>
  <c r="C26" i="53"/>
  <c r="K143" i="102"/>
  <c r="D68" i="53"/>
  <c r="C66" i="53"/>
  <c r="C65" i="50"/>
  <c r="C15" i="53"/>
  <c r="C73" i="53"/>
  <c r="C70" i="50"/>
  <c r="D70" i="50"/>
  <c r="F70" i="50"/>
  <c r="C52" i="53"/>
  <c r="D54" i="53"/>
  <c r="K151" i="102"/>
  <c r="C75" i="53"/>
  <c r="C72" i="50"/>
  <c r="D72" i="50"/>
  <c r="F72" i="50"/>
  <c r="K65" i="102"/>
  <c r="D50" i="53"/>
  <c r="J126" i="102"/>
  <c r="D63" i="53"/>
  <c r="J125" i="102"/>
  <c r="K125" i="102"/>
  <c r="C27" i="53"/>
  <c r="C62" i="53"/>
  <c r="C61" i="50"/>
  <c r="J137" i="102"/>
  <c r="K137" i="102"/>
  <c r="J154" i="102"/>
  <c r="K36" i="102"/>
  <c r="G69" i="102"/>
  <c r="L69" i="102"/>
  <c r="F11" i="53"/>
  <c r="J77" i="102"/>
  <c r="J69" i="102"/>
  <c r="J139" i="102"/>
  <c r="K139" i="102"/>
  <c r="D57" i="53"/>
  <c r="E57" i="53"/>
  <c r="G138" i="102"/>
  <c r="F57" i="53"/>
  <c r="K80" i="102"/>
  <c r="J134" i="102"/>
  <c r="K134" i="102"/>
  <c r="J150" i="102"/>
  <c r="K150" i="102"/>
  <c r="K171" i="102"/>
  <c r="K185" i="102"/>
  <c r="L15" i="102"/>
  <c r="L16" i="102"/>
  <c r="M8" i="102"/>
  <c r="G94" i="102"/>
  <c r="J94" i="102"/>
  <c r="G93" i="102"/>
  <c r="K110" i="102"/>
  <c r="K109" i="102"/>
  <c r="K123" i="102"/>
  <c r="J158" i="102"/>
  <c r="K17" i="102"/>
  <c r="J19" i="102"/>
  <c r="J11" i="102"/>
  <c r="F41" i="102"/>
  <c r="K81" i="102"/>
  <c r="K111" i="102"/>
  <c r="K115" i="102"/>
  <c r="K126" i="102"/>
  <c r="K135" i="102"/>
  <c r="K141" i="102"/>
  <c r="K142" i="102"/>
  <c r="K172" i="102"/>
  <c r="G182" i="102"/>
  <c r="K182" i="102"/>
  <c r="F17" i="102"/>
  <c r="F94" i="102"/>
  <c r="F141" i="102"/>
  <c r="F142" i="102"/>
  <c r="J151" i="102"/>
  <c r="G6" i="5"/>
  <c r="C51" i="50"/>
  <c r="C30" i="53"/>
  <c r="J4" i="102"/>
  <c r="J138" i="102"/>
  <c r="K77" i="102"/>
  <c r="C18" i="53"/>
  <c r="C20" i="53"/>
  <c r="J93" i="102"/>
  <c r="G57" i="53"/>
  <c r="M69" i="102"/>
  <c r="F84" i="53"/>
  <c r="C85" i="53"/>
  <c r="C79" i="50"/>
  <c r="D79" i="50"/>
  <c r="F79" i="50"/>
  <c r="K173" i="102"/>
  <c r="K160" i="102"/>
  <c r="C9" i="50"/>
  <c r="D9" i="50"/>
  <c r="M16" i="102"/>
  <c r="J178" i="102"/>
  <c r="F145" i="102"/>
  <c r="K40" i="102"/>
  <c r="K70" i="102"/>
  <c r="K69" i="102"/>
  <c r="K138" i="102"/>
  <c r="K158" i="102"/>
  <c r="K19" i="102"/>
  <c r="K11" i="102"/>
  <c r="K180" i="102"/>
  <c r="K178" i="102"/>
  <c r="D11" i="50"/>
  <c r="F9" i="50"/>
  <c r="G6" i="7"/>
  <c r="H6" i="5"/>
  <c r="C86" i="53"/>
  <c r="E84" i="53"/>
  <c r="K94" i="102"/>
  <c r="K93" i="102"/>
  <c r="A5" i="79"/>
  <c r="A6" i="79"/>
  <c r="A7" i="79"/>
  <c r="A8" i="79"/>
  <c r="A9" i="79"/>
  <c r="A10" i="79"/>
  <c r="A11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4" i="79"/>
  <c r="I38" i="77"/>
  <c r="L38" i="77"/>
  <c r="H23" i="77"/>
  <c r="H24" i="77"/>
  <c r="H25" i="77"/>
  <c r="H26" i="77"/>
  <c r="H27" i="77"/>
  <c r="H28" i="77"/>
  <c r="H29" i="77"/>
  <c r="H31" i="77"/>
  <c r="H32" i="77"/>
  <c r="H19" i="77"/>
  <c r="H20" i="77"/>
  <c r="H21" i="77"/>
  <c r="H22" i="77"/>
  <c r="E81" i="107"/>
  <c r="F81" i="107"/>
  <c r="E82" i="107"/>
  <c r="F82" i="107"/>
  <c r="E80" i="107"/>
  <c r="F80" i="107"/>
  <c r="H38" i="77"/>
  <c r="F18" i="81"/>
  <c r="E79" i="107"/>
  <c r="F79" i="107"/>
  <c r="G28" i="76"/>
  <c r="G29" i="76"/>
  <c r="H17" i="77"/>
  <c r="H16" i="77"/>
  <c r="H18" i="77"/>
  <c r="H13" i="77"/>
  <c r="H14" i="77"/>
  <c r="H15" i="77"/>
  <c r="H9" i="77"/>
  <c r="H10" i="77"/>
  <c r="H11" i="77"/>
  <c r="H12" i="77"/>
  <c r="H6" i="77"/>
  <c r="H7" i="77"/>
  <c r="H8" i="77"/>
  <c r="H5" i="77"/>
  <c r="G80" i="107"/>
  <c r="G82" i="107"/>
  <c r="G81" i="107"/>
  <c r="H84" i="50"/>
  <c r="M37" i="77"/>
  <c r="H40" i="77"/>
  <c r="L21" i="77"/>
  <c r="M36" i="77"/>
  <c r="M34" i="77"/>
  <c r="M35" i="77"/>
  <c r="L6" i="77"/>
  <c r="M5" i="77"/>
  <c r="M6" i="77"/>
  <c r="M8" i="77"/>
  <c r="M10" i="77"/>
  <c r="M7" i="77"/>
  <c r="M9" i="77"/>
  <c r="M11" i="77"/>
  <c r="F28" i="76"/>
  <c r="F29" i="76"/>
  <c r="L24" i="77"/>
  <c r="E6" i="31"/>
  <c r="E67" i="31"/>
  <c r="F67" i="31"/>
  <c r="L10" i="77"/>
  <c r="L16" i="77"/>
  <c r="L22" i="77"/>
  <c r="L15" i="77"/>
  <c r="L14" i="77"/>
  <c r="L13" i="77"/>
  <c r="L9" i="77"/>
  <c r="L19" i="77"/>
  <c r="L12" i="77"/>
  <c r="L11" i="77"/>
  <c r="L8" i="77"/>
  <c r="L20" i="77"/>
  <c r="L18" i="77"/>
  <c r="L17" i="77"/>
  <c r="L7" i="77"/>
  <c r="L23" i="77"/>
  <c r="L5" i="77"/>
  <c r="M31" i="77"/>
  <c r="M26" i="77"/>
  <c r="M28" i="77"/>
  <c r="M30" i="77"/>
  <c r="M25" i="77"/>
  <c r="M27" i="77"/>
  <c r="M29" i="77"/>
  <c r="M32" i="77"/>
  <c r="C109" i="50"/>
  <c r="C107" i="50"/>
  <c r="C104" i="50"/>
  <c r="E22" i="31"/>
  <c r="E58" i="31"/>
  <c r="E54" i="31"/>
  <c r="E49" i="31"/>
  <c r="E44" i="31"/>
  <c r="E61" i="31"/>
  <c r="E57" i="31"/>
  <c r="E50" i="31"/>
  <c r="E46" i="31"/>
  <c r="E43" i="31"/>
  <c r="E36" i="31"/>
  <c r="E24" i="31"/>
  <c r="E23" i="31"/>
  <c r="E27" i="31"/>
  <c r="E34" i="31"/>
  <c r="E33" i="31"/>
  <c r="E28" i="31"/>
  <c r="E25" i="31"/>
  <c r="E29" i="31"/>
  <c r="E26" i="31"/>
  <c r="G60" i="50"/>
  <c r="G70" i="50"/>
  <c r="G72" i="50"/>
  <c r="G74" i="50"/>
  <c r="G76" i="50"/>
  <c r="G78" i="50"/>
  <c r="G80" i="50"/>
  <c r="G82" i="50"/>
  <c r="G84" i="50"/>
  <c r="G8" i="50"/>
  <c r="G6" i="50"/>
  <c r="G55" i="50"/>
  <c r="G67" i="50"/>
  <c r="G69" i="50"/>
  <c r="G71" i="50"/>
  <c r="G75" i="50"/>
  <c r="G77" i="50"/>
  <c r="H67" i="31"/>
  <c r="H74" i="47"/>
  <c r="G79" i="50"/>
  <c r="G81" i="50"/>
  <c r="G83" i="50"/>
  <c r="G9" i="50"/>
  <c r="G7" i="50"/>
  <c r="M39" i="77"/>
  <c r="H77" i="107"/>
  <c r="H68" i="107"/>
  <c r="E6" i="107"/>
  <c r="E68" i="107"/>
  <c r="F68" i="107"/>
  <c r="H58" i="107"/>
  <c r="H55" i="107"/>
  <c r="L40" i="77"/>
  <c r="E7" i="107"/>
  <c r="E66" i="107"/>
  <c r="F66" i="107"/>
  <c r="E64" i="107"/>
  <c r="F64" i="107"/>
  <c r="E62" i="107"/>
  <c r="F62" i="107"/>
  <c r="E60" i="107"/>
  <c r="F60" i="107"/>
  <c r="E58" i="107"/>
  <c r="F58" i="107"/>
  <c r="E56" i="107"/>
  <c r="F56" i="107"/>
  <c r="E54" i="107"/>
  <c r="F54" i="107"/>
  <c r="E52" i="107"/>
  <c r="F52" i="107"/>
  <c r="E50" i="107"/>
  <c r="F50" i="107"/>
  <c r="E46" i="107"/>
  <c r="F46" i="107"/>
  <c r="E40" i="107"/>
  <c r="F40" i="107"/>
  <c r="E9" i="107"/>
  <c r="F9" i="107"/>
  <c r="E14" i="107"/>
  <c r="F14" i="107"/>
  <c r="E16" i="107"/>
  <c r="F16" i="107"/>
  <c r="E18" i="107"/>
  <c r="F18" i="107"/>
  <c r="E27" i="107"/>
  <c r="F27" i="107"/>
  <c r="E29" i="107"/>
  <c r="F29" i="107"/>
  <c r="E34" i="107"/>
  <c r="F34" i="107"/>
  <c r="E45" i="107"/>
  <c r="F45" i="107"/>
  <c r="E13" i="107"/>
  <c r="F13" i="107"/>
  <c r="E22" i="107"/>
  <c r="F22" i="107"/>
  <c r="E24" i="107"/>
  <c r="F24" i="107"/>
  <c r="E33" i="107"/>
  <c r="F33" i="107"/>
  <c r="E36" i="107"/>
  <c r="F36" i="107"/>
  <c r="E67" i="107"/>
  <c r="F67" i="107"/>
  <c r="E65" i="107"/>
  <c r="F65" i="107"/>
  <c r="E63" i="107"/>
  <c r="F63" i="107"/>
  <c r="E61" i="107"/>
  <c r="F61" i="107"/>
  <c r="E59" i="107"/>
  <c r="F59" i="107"/>
  <c r="E57" i="107"/>
  <c r="F57" i="107"/>
  <c r="E55" i="107"/>
  <c r="F55" i="107"/>
  <c r="E53" i="107"/>
  <c r="F53" i="107"/>
  <c r="E51" i="107"/>
  <c r="F51" i="107"/>
  <c r="E49" i="107"/>
  <c r="F49" i="107"/>
  <c r="E44" i="107"/>
  <c r="F44" i="107"/>
  <c r="E39" i="107"/>
  <c r="F39" i="107"/>
  <c r="E10" i="107"/>
  <c r="F10" i="107"/>
  <c r="E15" i="107"/>
  <c r="F15" i="107"/>
  <c r="E17" i="107"/>
  <c r="F17" i="107"/>
  <c r="E26" i="107"/>
  <c r="F26" i="107"/>
  <c r="E28" i="107"/>
  <c r="F28" i="107"/>
  <c r="E32" i="107"/>
  <c r="F32" i="107"/>
  <c r="E43" i="107"/>
  <c r="F43" i="107"/>
  <c r="E8" i="107"/>
  <c r="E19" i="107"/>
  <c r="F19" i="107"/>
  <c r="E23" i="107"/>
  <c r="F23" i="107"/>
  <c r="E25" i="107"/>
  <c r="F25" i="107"/>
  <c r="E35" i="107"/>
  <c r="F35" i="107"/>
  <c r="E9" i="31"/>
  <c r="F9" i="31"/>
  <c r="E98" i="31"/>
  <c r="F98" i="31"/>
  <c r="E99" i="31"/>
  <c r="F99" i="31"/>
  <c r="E60" i="31"/>
  <c r="F60" i="31"/>
  <c r="E63" i="31"/>
  <c r="F63" i="31"/>
  <c r="E59" i="31"/>
  <c r="F59" i="31"/>
  <c r="E66" i="31"/>
  <c r="F66" i="31"/>
  <c r="E100" i="31"/>
  <c r="F100" i="31"/>
  <c r="E64" i="31"/>
  <c r="F64" i="31"/>
  <c r="E68" i="31"/>
  <c r="F68" i="31"/>
  <c r="F61" i="31"/>
  <c r="E62" i="31"/>
  <c r="F62" i="31"/>
  <c r="E97" i="31"/>
  <c r="F97" i="31"/>
  <c r="E6" i="47"/>
  <c r="E74" i="47"/>
  <c r="F74" i="47"/>
  <c r="G74" i="47"/>
  <c r="E65" i="31"/>
  <c r="F65" i="31"/>
  <c r="H100" i="31"/>
  <c r="H99" i="31"/>
  <c r="H98" i="31"/>
  <c r="H94" i="31"/>
  <c r="M38" i="77"/>
  <c r="G67" i="31"/>
  <c r="E69" i="107"/>
  <c r="F69" i="107"/>
  <c r="G69" i="107"/>
  <c r="E70" i="107"/>
  <c r="F70" i="107"/>
  <c r="G70" i="107"/>
  <c r="E72" i="107"/>
  <c r="F72" i="107"/>
  <c r="G72" i="107"/>
  <c r="E73" i="107"/>
  <c r="F73" i="107"/>
  <c r="G73" i="107"/>
  <c r="E75" i="107"/>
  <c r="F75" i="107"/>
  <c r="G75" i="107"/>
  <c r="E78" i="107"/>
  <c r="F78" i="107"/>
  <c r="G78" i="107"/>
  <c r="E71" i="107"/>
  <c r="F71" i="107"/>
  <c r="G71" i="107"/>
  <c r="E74" i="107"/>
  <c r="F74" i="107"/>
  <c r="G74" i="107"/>
  <c r="E76" i="107"/>
  <c r="F76" i="107"/>
  <c r="G76" i="107"/>
  <c r="E77" i="107"/>
  <c r="F77" i="107"/>
  <c r="G77" i="107"/>
  <c r="H68" i="31"/>
  <c r="G68" i="107"/>
  <c r="H63" i="31"/>
  <c r="G63" i="107"/>
  <c r="H66" i="31"/>
  <c r="H73" i="47"/>
  <c r="G67" i="107"/>
  <c r="H65" i="31"/>
  <c r="G65" i="31"/>
  <c r="G66" i="107"/>
  <c r="H61" i="31"/>
  <c r="G61" i="31"/>
  <c r="G61" i="107"/>
  <c r="H62" i="31"/>
  <c r="H69" i="47"/>
  <c r="G62" i="107"/>
  <c r="H64" i="31"/>
  <c r="H71" i="47"/>
  <c r="E73" i="47"/>
  <c r="F73" i="47"/>
  <c r="E72" i="47"/>
  <c r="F72" i="47"/>
  <c r="G68" i="31"/>
  <c r="H75" i="47"/>
  <c r="G63" i="31"/>
  <c r="H70" i="47"/>
  <c r="E9" i="47"/>
  <c r="F9" i="47"/>
  <c r="G98" i="31"/>
  <c r="G100" i="31"/>
  <c r="G62" i="31"/>
  <c r="H9" i="47"/>
  <c r="H9" i="31"/>
  <c r="G66" i="31"/>
  <c r="G99" i="31"/>
  <c r="H72" i="47"/>
  <c r="G72" i="47"/>
  <c r="G73" i="47"/>
  <c r="G64" i="31"/>
  <c r="H68" i="47"/>
  <c r="G20" i="84"/>
  <c r="H20" i="84"/>
  <c r="H15" i="84"/>
  <c r="H14" i="84"/>
  <c r="G13" i="84"/>
  <c r="G12" i="84"/>
  <c r="G12" i="82"/>
  <c r="G17" i="86"/>
  <c r="G13" i="82"/>
  <c r="H12" i="81"/>
  <c r="G7" i="81"/>
  <c r="G8" i="81"/>
  <c r="J12" i="81"/>
  <c r="I12" i="81"/>
  <c r="H15" i="81"/>
  <c r="G20" i="82"/>
  <c r="G17" i="94"/>
  <c r="H20" i="82"/>
  <c r="H41" i="50"/>
  <c r="H11" i="50"/>
  <c r="F6" i="82"/>
  <c r="F6" i="84"/>
  <c r="F6" i="86"/>
  <c r="F6" i="88"/>
  <c r="F6" i="90"/>
  <c r="F6" i="94"/>
  <c r="F6" i="96"/>
  <c r="D17" i="98"/>
  <c r="E17" i="98"/>
  <c r="H17" i="98"/>
  <c r="J17" i="98"/>
  <c r="D11" i="96"/>
  <c r="E11" i="96"/>
  <c r="H11" i="96"/>
  <c r="C17" i="94"/>
  <c r="D20" i="84"/>
  <c r="J20" i="84"/>
  <c r="D14" i="84"/>
  <c r="D12" i="84"/>
  <c r="E12" i="84"/>
  <c r="H12" i="84"/>
  <c r="J12" i="84"/>
  <c r="D15" i="84"/>
  <c r="D13" i="84"/>
  <c r="E13" i="84"/>
  <c r="H13" i="84"/>
  <c r="J13" i="84"/>
  <c r="E11" i="88"/>
  <c r="H11" i="88"/>
  <c r="C17" i="86"/>
  <c r="D11" i="82"/>
  <c r="D24" i="82"/>
  <c r="D22" i="82"/>
  <c r="G22" i="82"/>
  <c r="D23" i="82"/>
  <c r="D21" i="82"/>
  <c r="H13" i="88"/>
  <c r="D15" i="82"/>
  <c r="D13" i="82"/>
  <c r="E13" i="82"/>
  <c r="H13" i="82"/>
  <c r="J13" i="82"/>
  <c r="D20" i="82"/>
  <c r="J20" i="82"/>
  <c r="D14" i="82"/>
  <c r="D12" i="82"/>
  <c r="C20" i="84"/>
  <c r="E12" i="86"/>
  <c r="H12" i="86"/>
  <c r="E11" i="86"/>
  <c r="H11" i="86"/>
  <c r="C12" i="84"/>
  <c r="C11" i="82"/>
  <c r="C20" i="82"/>
  <c r="E12" i="82"/>
  <c r="H12" i="82"/>
  <c r="G21" i="82"/>
  <c r="G21" i="84"/>
  <c r="H21" i="84"/>
  <c r="H22" i="82"/>
  <c r="G22" i="84"/>
  <c r="H22" i="84"/>
  <c r="G23" i="82"/>
  <c r="G23" i="84"/>
  <c r="H23" i="84"/>
  <c r="E85" i="50"/>
  <c r="C21" i="84"/>
  <c r="C22" i="84"/>
  <c r="H13" i="86"/>
  <c r="C23" i="82"/>
  <c r="C24" i="84"/>
  <c r="C13" i="84"/>
  <c r="C21" i="82"/>
  <c r="J12" i="82"/>
  <c r="H16" i="82"/>
  <c r="H23" i="82"/>
  <c r="H21" i="82"/>
  <c r="C12" i="82"/>
  <c r="G79" i="107"/>
  <c r="C24" i="82"/>
  <c r="C13" i="82"/>
  <c r="C22" i="82"/>
  <c r="J24" i="82"/>
  <c r="G24" i="82"/>
  <c r="C15" i="84"/>
  <c r="C14" i="84"/>
  <c r="G24" i="84"/>
  <c r="H24" i="84"/>
  <c r="H25" i="84"/>
  <c r="H24" i="82"/>
  <c r="H25" i="82"/>
  <c r="C15" i="82"/>
  <c r="C14" i="82"/>
  <c r="K13" i="81"/>
  <c r="K12" i="81"/>
  <c r="K11" i="81"/>
  <c r="K10" i="81"/>
  <c r="K9" i="81"/>
  <c r="K8" i="81"/>
  <c r="K7" i="81"/>
  <c r="H18" i="98"/>
  <c r="H12" i="98"/>
  <c r="H11" i="98"/>
  <c r="H13" i="98"/>
  <c r="C6" i="99"/>
  <c r="H18" i="96"/>
  <c r="A18" i="96"/>
  <c r="H13" i="96"/>
  <c r="C6" i="97"/>
  <c r="H17" i="96"/>
  <c r="H19" i="96"/>
  <c r="H18" i="94"/>
  <c r="A18" i="94"/>
  <c r="H11" i="94"/>
  <c r="H13" i="94"/>
  <c r="C6" i="95"/>
  <c r="H18" i="90"/>
  <c r="A18" i="90"/>
  <c r="H13" i="90"/>
  <c r="C6" i="91"/>
  <c r="H18" i="88"/>
  <c r="A18" i="88"/>
  <c r="C6" i="89"/>
  <c r="H16" i="84"/>
  <c r="C6" i="85"/>
  <c r="C6" i="83"/>
  <c r="I6" i="84"/>
  <c r="I6" i="86"/>
  <c r="I6" i="88"/>
  <c r="B6" i="82"/>
  <c r="B6" i="84"/>
  <c r="B6" i="86"/>
  <c r="B6" i="88"/>
  <c r="K32" i="81"/>
  <c r="L32" i="81"/>
  <c r="N32" i="81"/>
  <c r="K31" i="81"/>
  <c r="L31" i="81"/>
  <c r="N31" i="81"/>
  <c r="K30" i="81"/>
  <c r="L30" i="81"/>
  <c r="N30" i="81"/>
  <c r="K29" i="81"/>
  <c r="L29" i="81"/>
  <c r="N29" i="81"/>
  <c r="K28" i="81"/>
  <c r="L28" i="81"/>
  <c r="N28" i="81"/>
  <c r="K27" i="81"/>
  <c r="L27" i="81"/>
  <c r="N27" i="81"/>
  <c r="K26" i="81"/>
  <c r="L26" i="81"/>
  <c r="N26" i="81"/>
  <c r="K25" i="81"/>
  <c r="L25" i="81"/>
  <c r="N25" i="81"/>
  <c r="K24" i="81"/>
  <c r="L24" i="81"/>
  <c r="N24" i="81"/>
  <c r="K23" i="81"/>
  <c r="L23" i="81"/>
  <c r="N23" i="81"/>
  <c r="K22" i="81"/>
  <c r="L22" i="81"/>
  <c r="N22" i="81"/>
  <c r="F16" i="81"/>
  <c r="F19" i="81"/>
  <c r="K15" i="81"/>
  <c r="L15" i="81"/>
  <c r="N15" i="81"/>
  <c r="L13" i="81"/>
  <c r="N13" i="81"/>
  <c r="C6" i="96"/>
  <c r="E6" i="96"/>
  <c r="J16" i="81"/>
  <c r="L12" i="81"/>
  <c r="N12" i="81"/>
  <c r="C6" i="94"/>
  <c r="E6" i="94"/>
  <c r="L11" i="81"/>
  <c r="N11" i="81"/>
  <c r="C6" i="90"/>
  <c r="E6" i="90"/>
  <c r="L10" i="81"/>
  <c r="N10" i="81"/>
  <c r="C6" i="88"/>
  <c r="E6" i="88"/>
  <c r="L9" i="81"/>
  <c r="N9" i="81"/>
  <c r="H16" i="81"/>
  <c r="L8" i="81"/>
  <c r="N8" i="81"/>
  <c r="C6" i="84"/>
  <c r="E6" i="84"/>
  <c r="G16" i="81"/>
  <c r="H19" i="98"/>
  <c r="D6" i="99"/>
  <c r="C6" i="87"/>
  <c r="C6" i="86"/>
  <c r="E6" i="86"/>
  <c r="C6" i="98"/>
  <c r="E6" i="98"/>
  <c r="G6" i="90"/>
  <c r="G6" i="96"/>
  <c r="H6" i="96"/>
  <c r="H17" i="90"/>
  <c r="H19" i="90"/>
  <c r="D6" i="91"/>
  <c r="H19" i="94"/>
  <c r="D6" i="95"/>
  <c r="B6" i="94"/>
  <c r="B6" i="90"/>
  <c r="B6" i="96"/>
  <c r="I6" i="96"/>
  <c r="I6" i="94"/>
  <c r="I6" i="90"/>
  <c r="H17" i="88"/>
  <c r="H19" i="88"/>
  <c r="H19" i="86"/>
  <c r="D6" i="97"/>
  <c r="G6" i="82"/>
  <c r="G6" i="94"/>
  <c r="G6" i="88"/>
  <c r="G6" i="86"/>
  <c r="G6" i="84"/>
  <c r="I16" i="81"/>
  <c r="H6" i="86"/>
  <c r="H7" i="86"/>
  <c r="H6" i="88"/>
  <c r="H7" i="88"/>
  <c r="K8" i="88"/>
  <c r="H7" i="96"/>
  <c r="K8" i="96"/>
  <c r="H6" i="90"/>
  <c r="H7" i="90"/>
  <c r="K8" i="90"/>
  <c r="H6" i="94"/>
  <c r="H7" i="94"/>
  <c r="K8" i="94"/>
  <c r="H6" i="84"/>
  <c r="H7" i="84"/>
  <c r="K8" i="84"/>
  <c r="H6" i="98"/>
  <c r="H7" i="98"/>
  <c r="K8" i="98"/>
  <c r="B6" i="97"/>
  <c r="H20" i="96"/>
  <c r="D6" i="87"/>
  <c r="D6" i="83"/>
  <c r="D6" i="89"/>
  <c r="D6" i="85"/>
  <c r="K16" i="81"/>
  <c r="L7" i="81"/>
  <c r="N7" i="81"/>
  <c r="N16" i="81"/>
  <c r="B6" i="87"/>
  <c r="K8" i="86"/>
  <c r="B6" i="85"/>
  <c r="H26" i="84"/>
  <c r="B6" i="89"/>
  <c r="H20" i="88"/>
  <c r="B6" i="91"/>
  <c r="H20" i="90"/>
  <c r="B6" i="95"/>
  <c r="H20" i="94"/>
  <c r="B6" i="99"/>
  <c r="H20" i="98"/>
  <c r="H20" i="86"/>
  <c r="L16" i="81"/>
  <c r="O17" i="81"/>
  <c r="C6" i="82"/>
  <c r="E6" i="82"/>
  <c r="M12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H6" i="82"/>
  <c r="H7" i="82"/>
  <c r="K8" i="82"/>
  <c r="J3" i="98"/>
  <c r="K3" i="98"/>
  <c r="B6" i="83"/>
  <c r="H26" i="82"/>
  <c r="M9" i="76"/>
  <c r="N9" i="76"/>
  <c r="H26" i="76"/>
  <c r="I26" i="76"/>
  <c r="J26" i="76"/>
  <c r="K26" i="76"/>
  <c r="L26" i="76"/>
  <c r="M13" i="76"/>
  <c r="M25" i="76"/>
  <c r="N25" i="76"/>
  <c r="M24" i="76"/>
  <c r="N24" i="76"/>
  <c r="M23" i="76"/>
  <c r="N23" i="76"/>
  <c r="M7" i="76"/>
  <c r="N7" i="76"/>
  <c r="M22" i="76"/>
  <c r="N22" i="76"/>
  <c r="M21" i="76"/>
  <c r="N21" i="76"/>
  <c r="M20" i="76"/>
  <c r="N20" i="76"/>
  <c r="M19" i="76"/>
  <c r="N19" i="76"/>
  <c r="M18" i="76"/>
  <c r="N18" i="76"/>
  <c r="M16" i="76"/>
  <c r="N16" i="76"/>
  <c r="M15" i="76"/>
  <c r="N15" i="76"/>
  <c r="M14" i="76"/>
  <c r="R16" i="76"/>
  <c r="S16" i="76"/>
  <c r="O16" i="76"/>
  <c r="C6" i="5"/>
  <c r="R19" i="76"/>
  <c r="S19" i="76"/>
  <c r="O19" i="76"/>
  <c r="C6" i="9"/>
  <c r="R21" i="76"/>
  <c r="S21" i="76"/>
  <c r="O21" i="76"/>
  <c r="C6" i="11"/>
  <c r="O24" i="76"/>
  <c r="C6" i="16"/>
  <c r="R15" i="76"/>
  <c r="S15" i="76"/>
  <c r="O15" i="76"/>
  <c r="C6" i="4"/>
  <c r="R18" i="76"/>
  <c r="S18" i="76"/>
  <c r="O18" i="76"/>
  <c r="C6" i="8"/>
  <c r="R20" i="76"/>
  <c r="S20" i="76"/>
  <c r="O20" i="76"/>
  <c r="C6" i="10"/>
  <c r="R22" i="76"/>
  <c r="S22" i="76"/>
  <c r="O22" i="76"/>
  <c r="C6" i="12"/>
  <c r="R23" i="76"/>
  <c r="S23" i="76"/>
  <c r="O23" i="76"/>
  <c r="C6" i="15"/>
  <c r="R25" i="76"/>
  <c r="S25" i="76"/>
  <c r="O25" i="76"/>
  <c r="C6" i="17"/>
  <c r="M8" i="76"/>
  <c r="R9" i="76"/>
  <c r="S9" i="76"/>
  <c r="O9" i="76"/>
  <c r="C6" i="14"/>
  <c r="E6" i="14"/>
  <c r="H6" i="14"/>
  <c r="O7" i="76"/>
  <c r="C6" i="13"/>
  <c r="R7" i="76"/>
  <c r="N13" i="76"/>
  <c r="R13" i="76"/>
  <c r="S13" i="76"/>
  <c r="M6" i="76"/>
  <c r="N6" i="76"/>
  <c r="N14" i="76"/>
  <c r="R14" i="76"/>
  <c r="S14" i="76"/>
  <c r="O14" i="76"/>
  <c r="C6" i="1"/>
  <c r="S6" i="76"/>
  <c r="O6" i="76"/>
  <c r="C6" i="56"/>
  <c r="S7" i="76"/>
  <c r="O13" i="76"/>
  <c r="C6" i="18"/>
  <c r="D6" i="69"/>
  <c r="E17" i="68"/>
  <c r="E16" i="68"/>
  <c r="E18" i="68"/>
  <c r="E15" i="68"/>
  <c r="E13" i="68"/>
  <c r="E12" i="68"/>
  <c r="E11" i="68"/>
  <c r="D6" i="67"/>
  <c r="E17" i="66"/>
  <c r="E16" i="66"/>
  <c r="E15" i="66"/>
  <c r="E13" i="66"/>
  <c r="E12" i="66"/>
  <c r="E11" i="66"/>
  <c r="D6" i="65"/>
  <c r="E17" i="64"/>
  <c r="E16" i="64"/>
  <c r="E15" i="64"/>
  <c r="E13" i="64"/>
  <c r="E12" i="64"/>
  <c r="E11" i="64"/>
  <c r="E6" i="64"/>
  <c r="H6" i="64"/>
  <c r="D6" i="61"/>
  <c r="E17" i="60"/>
  <c r="E15" i="60"/>
  <c r="E14" i="60"/>
  <c r="E13" i="60"/>
  <c r="E12" i="60"/>
  <c r="E11" i="60"/>
  <c r="H38" i="56"/>
  <c r="E32" i="56"/>
  <c r="H32" i="56"/>
  <c r="J32" i="56"/>
  <c r="E31" i="56"/>
  <c r="H31" i="56"/>
  <c r="J31" i="56"/>
  <c r="E30" i="56"/>
  <c r="H30" i="56"/>
  <c r="J30" i="56"/>
  <c r="E29" i="56"/>
  <c r="H29" i="56"/>
  <c r="J29" i="56"/>
  <c r="E28" i="56"/>
  <c r="E27" i="56"/>
  <c r="H27" i="56"/>
  <c r="J27" i="56"/>
  <c r="E26" i="56"/>
  <c r="H26" i="56"/>
  <c r="J26" i="56"/>
  <c r="E23" i="56"/>
  <c r="E22" i="56"/>
  <c r="E21" i="56"/>
  <c r="H21" i="56"/>
  <c r="J21" i="56"/>
  <c r="E20" i="56"/>
  <c r="H20" i="56"/>
  <c r="J20" i="56"/>
  <c r="E19" i="56"/>
  <c r="H19" i="56"/>
  <c r="J19" i="56"/>
  <c r="E17" i="56"/>
  <c r="H17" i="56"/>
  <c r="E16" i="56"/>
  <c r="H16" i="56"/>
  <c r="E15" i="56"/>
  <c r="H15" i="56"/>
  <c r="E13" i="56"/>
  <c r="H13" i="56"/>
  <c r="E12" i="56"/>
  <c r="H12" i="56"/>
  <c r="E11" i="56"/>
  <c r="H11" i="56"/>
  <c r="E6" i="56"/>
  <c r="H6" i="56"/>
  <c r="H22" i="56"/>
  <c r="J22" i="56"/>
  <c r="D35" i="105"/>
  <c r="F35" i="105"/>
  <c r="H28" i="56"/>
  <c r="J28" i="56"/>
  <c r="D40" i="105"/>
  <c r="F40" i="105"/>
  <c r="Z40" i="105"/>
  <c r="H23" i="56"/>
  <c r="J23" i="56"/>
  <c r="J33" i="56"/>
  <c r="F47" i="105"/>
  <c r="D36" i="105"/>
  <c r="F36" i="105"/>
  <c r="Z36" i="105"/>
  <c r="C6" i="61"/>
  <c r="H7" i="56"/>
  <c r="H7" i="64"/>
  <c r="B6" i="65"/>
  <c r="D6" i="57"/>
  <c r="C6" i="69"/>
  <c r="H33" i="56"/>
  <c r="Z35" i="105"/>
  <c r="F45" i="105"/>
  <c r="F46" i="105"/>
  <c r="M40" i="77"/>
  <c r="C6" i="67"/>
  <c r="B6" i="57"/>
  <c r="F48" i="105"/>
  <c r="C29" i="50"/>
  <c r="C17" i="50"/>
  <c r="D17" i="50"/>
  <c r="C73" i="50"/>
  <c r="C85" i="50"/>
  <c r="I85" i="50"/>
  <c r="F17" i="50"/>
  <c r="G17" i="50"/>
  <c r="D73" i="50"/>
  <c r="F73" i="50"/>
  <c r="G73" i="50"/>
  <c r="H97" i="31"/>
  <c r="G97" i="31"/>
  <c r="C99" i="53"/>
  <c r="C100" i="53"/>
  <c r="C101" i="53"/>
  <c r="C102" i="53"/>
  <c r="C103" i="53"/>
  <c r="C104" i="53"/>
  <c r="C105" i="53"/>
  <c r="C107" i="53"/>
  <c r="C108" i="53"/>
  <c r="C98" i="53"/>
  <c r="J156" i="102"/>
  <c r="G156" i="102"/>
  <c r="I84" i="50"/>
  <c r="C28" i="50"/>
  <c r="C23" i="50"/>
  <c r="C22" i="50"/>
  <c r="D47" i="53"/>
  <c r="D44" i="53"/>
  <c r="D40" i="53"/>
  <c r="D29" i="53"/>
  <c r="D28" i="53"/>
  <c r="D23" i="53"/>
  <c r="D22" i="53"/>
  <c r="D17" i="53"/>
  <c r="K156" i="102"/>
  <c r="D24" i="53"/>
  <c r="C24" i="50"/>
  <c r="D22" i="50"/>
  <c r="D11" i="53"/>
  <c r="F22" i="50"/>
  <c r="F6" i="107"/>
  <c r="D6" i="107"/>
  <c r="C109" i="53"/>
  <c r="C111" i="53"/>
  <c r="C106" i="53"/>
  <c r="C110" i="53"/>
  <c r="H22" i="107"/>
  <c r="D64" i="50"/>
  <c r="F64" i="50"/>
  <c r="G64" i="50"/>
  <c r="D15" i="53"/>
  <c r="C13" i="50"/>
  <c r="D13" i="50"/>
  <c r="D41" i="53"/>
  <c r="F13" i="50"/>
  <c r="G13" i="50"/>
  <c r="G64" i="107"/>
  <c r="C15" i="50"/>
  <c r="D15" i="50"/>
  <c r="D18" i="53"/>
  <c r="C18" i="50"/>
  <c r="D18" i="50"/>
  <c r="D35" i="53"/>
  <c r="C35" i="50"/>
  <c r="D14" i="53"/>
  <c r="C14" i="50"/>
  <c r="D14" i="50"/>
  <c r="D16" i="53"/>
  <c r="C16" i="50"/>
  <c r="D16" i="50"/>
  <c r="C25" i="50"/>
  <c r="C32" i="50"/>
  <c r="C11" i="53"/>
  <c r="D13" i="53"/>
  <c r="D52" i="50"/>
  <c r="D56" i="50"/>
  <c r="F14" i="50"/>
  <c r="G14" i="50"/>
  <c r="F18" i="50"/>
  <c r="F15" i="50"/>
  <c r="G15" i="50"/>
  <c r="H56" i="107"/>
  <c r="F56" i="50"/>
  <c r="G56" i="50"/>
  <c r="F16" i="50"/>
  <c r="G16" i="50"/>
  <c r="H52" i="107"/>
  <c r="F52" i="50"/>
  <c r="G52" i="50"/>
  <c r="D49" i="50"/>
  <c r="D19" i="53"/>
  <c r="D20" i="53"/>
  <c r="C19" i="50"/>
  <c r="D19" i="50"/>
  <c r="D27" i="53"/>
  <c r="C27" i="50"/>
  <c r="D33" i="53"/>
  <c r="C33" i="50"/>
  <c r="D34" i="53"/>
  <c r="C34" i="50"/>
  <c r="C41" i="53"/>
  <c r="E41" i="53"/>
  <c r="G41" i="53"/>
  <c r="C39" i="50"/>
  <c r="D39" i="50"/>
  <c r="D66" i="50"/>
  <c r="E50" i="53"/>
  <c r="E11" i="53"/>
  <c r="G11" i="53"/>
  <c r="D32" i="53"/>
  <c r="D25" i="53"/>
  <c r="F66" i="50"/>
  <c r="G66" i="50"/>
  <c r="F39" i="50"/>
  <c r="G39" i="50"/>
  <c r="F19" i="50"/>
  <c r="G19" i="50"/>
  <c r="F49" i="50"/>
  <c r="G49" i="50"/>
  <c r="H51" i="31"/>
  <c r="H58" i="47"/>
  <c r="G84" i="53"/>
  <c r="D40" i="50"/>
  <c r="D63" i="50"/>
  <c r="D54" i="50"/>
  <c r="D53" i="50"/>
  <c r="D51" i="50"/>
  <c r="D50" i="50"/>
  <c r="H46" i="107"/>
  <c r="H44" i="107"/>
  <c r="D34" i="50"/>
  <c r="D35" i="50"/>
  <c r="D33" i="50"/>
  <c r="D32" i="50"/>
  <c r="D29" i="50"/>
  <c r="D28" i="50"/>
  <c r="D27" i="50"/>
  <c r="D25" i="50"/>
  <c r="D24" i="50"/>
  <c r="D23" i="50"/>
  <c r="H16" i="107"/>
  <c r="H15" i="107"/>
  <c r="D62" i="50"/>
  <c r="F23" i="50"/>
  <c r="F25" i="50"/>
  <c r="F28" i="50"/>
  <c r="F32" i="50"/>
  <c r="H35" i="107"/>
  <c r="F35" i="50"/>
  <c r="F50" i="50"/>
  <c r="F53" i="50"/>
  <c r="G53" i="50"/>
  <c r="F63" i="50"/>
  <c r="G63" i="50"/>
  <c r="F62" i="50"/>
  <c r="G62" i="50"/>
  <c r="F24" i="50"/>
  <c r="F27" i="50"/>
  <c r="F29" i="50"/>
  <c r="F33" i="50"/>
  <c r="F34" i="50"/>
  <c r="F51" i="50"/>
  <c r="F54" i="50"/>
  <c r="G54" i="50"/>
  <c r="D41" i="50"/>
  <c r="F40" i="50"/>
  <c r="G40" i="50"/>
  <c r="H20" i="50"/>
  <c r="C11" i="50"/>
  <c r="C20" i="50"/>
  <c r="D20" i="50"/>
  <c r="D59" i="50"/>
  <c r="D57" i="50"/>
  <c r="D65" i="50"/>
  <c r="D61" i="50"/>
  <c r="C41" i="50"/>
  <c r="F57" i="50"/>
  <c r="G57" i="50"/>
  <c r="H51" i="107"/>
  <c r="G51" i="107"/>
  <c r="H33" i="107"/>
  <c r="H27" i="107"/>
  <c r="G50" i="50"/>
  <c r="H25" i="107"/>
  <c r="F61" i="50"/>
  <c r="G61" i="50"/>
  <c r="F65" i="50"/>
  <c r="G65" i="50"/>
  <c r="F59" i="50"/>
  <c r="G59" i="50"/>
  <c r="H34" i="107"/>
  <c r="H29" i="107"/>
  <c r="H24" i="107"/>
  <c r="H28" i="107"/>
  <c r="H23" i="107"/>
  <c r="D85" i="50"/>
  <c r="I20" i="50"/>
  <c r="J20" i="50"/>
  <c r="I19" i="50"/>
  <c r="I41" i="50"/>
  <c r="J41" i="50"/>
  <c r="I40" i="50"/>
  <c r="I10" i="50"/>
  <c r="I11" i="50"/>
  <c r="J11" i="50"/>
  <c r="H85" i="50"/>
  <c r="J83" i="107"/>
  <c r="J85" i="50"/>
  <c r="G65" i="107"/>
  <c r="K83" i="107"/>
  <c r="H52" i="47"/>
  <c r="K6" i="91"/>
  <c r="K6" i="95"/>
  <c r="K6" i="97"/>
  <c r="K6" i="99"/>
  <c r="K6" i="87"/>
  <c r="K6" i="89"/>
  <c r="G87" i="31"/>
  <c r="G86" i="31"/>
  <c r="E11" i="1"/>
  <c r="H11" i="1"/>
  <c r="H8" i="31"/>
  <c r="E17" i="13"/>
  <c r="H17" i="13"/>
  <c r="H90" i="31"/>
  <c r="H96" i="31"/>
  <c r="E6" i="8"/>
  <c r="E6" i="7"/>
  <c r="H6" i="7"/>
  <c r="E55" i="31"/>
  <c r="F55" i="31"/>
  <c r="E56" i="31"/>
  <c r="F56" i="31"/>
  <c r="F50" i="31"/>
  <c r="E87" i="31"/>
  <c r="F87" i="31"/>
  <c r="H87" i="31"/>
  <c r="E96" i="31"/>
  <c r="F96" i="31"/>
  <c r="E53" i="31"/>
  <c r="F53" i="31"/>
  <c r="E52" i="31"/>
  <c r="F52" i="31"/>
  <c r="F49" i="31"/>
  <c r="F29" i="31"/>
  <c r="F26" i="31"/>
  <c r="F24" i="31"/>
  <c r="F22" i="31"/>
  <c r="E17" i="31"/>
  <c r="F17" i="31"/>
  <c r="E85" i="31"/>
  <c r="F85" i="31"/>
  <c r="H85" i="31"/>
  <c r="E95" i="31"/>
  <c r="F95" i="31"/>
  <c r="E92" i="31"/>
  <c r="F92" i="31"/>
  <c r="E90" i="31"/>
  <c r="F90" i="31"/>
  <c r="F46" i="31"/>
  <c r="F44" i="31"/>
  <c r="E40" i="31"/>
  <c r="F40" i="31"/>
  <c r="E35" i="31"/>
  <c r="F35" i="31"/>
  <c r="F33" i="31"/>
  <c r="F28" i="31"/>
  <c r="E10" i="31"/>
  <c r="F10" i="31"/>
  <c r="E15" i="31"/>
  <c r="F15" i="31"/>
  <c r="E14" i="31"/>
  <c r="F14" i="31"/>
  <c r="F58" i="31"/>
  <c r="F54" i="31"/>
  <c r="E93" i="31"/>
  <c r="F93" i="31"/>
  <c r="E91" i="31"/>
  <c r="F91" i="31"/>
  <c r="E39" i="31"/>
  <c r="F39" i="31"/>
  <c r="F27" i="31"/>
  <c r="F25" i="31"/>
  <c r="F23" i="31"/>
  <c r="E18" i="31"/>
  <c r="F18" i="31"/>
  <c r="E86" i="31"/>
  <c r="F86" i="31"/>
  <c r="H86" i="31"/>
  <c r="E84" i="31"/>
  <c r="F84" i="31"/>
  <c r="H84" i="31"/>
  <c r="F57" i="31"/>
  <c r="E94" i="31"/>
  <c r="F94" i="31"/>
  <c r="E51" i="31"/>
  <c r="F51" i="31"/>
  <c r="E45" i="31"/>
  <c r="F45" i="31"/>
  <c r="F43" i="31"/>
  <c r="F36" i="31"/>
  <c r="F34" i="31"/>
  <c r="E32" i="31"/>
  <c r="F32" i="31"/>
  <c r="E19" i="31"/>
  <c r="F19" i="31"/>
  <c r="E8" i="31"/>
  <c r="E13" i="31"/>
  <c r="F13" i="31"/>
  <c r="E7" i="31"/>
  <c r="E16" i="31"/>
  <c r="F16" i="31"/>
  <c r="E58" i="47"/>
  <c r="F58" i="47"/>
  <c r="E14" i="47"/>
  <c r="F14" i="47"/>
  <c r="E10" i="47"/>
  <c r="F10" i="47"/>
  <c r="E75" i="47"/>
  <c r="F75" i="47"/>
  <c r="G75" i="47"/>
  <c r="E69" i="47"/>
  <c r="F69" i="47"/>
  <c r="E63" i="47"/>
  <c r="F63" i="47"/>
  <c r="E59" i="47"/>
  <c r="F59" i="47"/>
  <c r="E52" i="47"/>
  <c r="E50" i="47"/>
  <c r="F50" i="47"/>
  <c r="E48" i="47"/>
  <c r="F48" i="47"/>
  <c r="E39" i="47"/>
  <c r="F39" i="47"/>
  <c r="E37" i="47"/>
  <c r="F37" i="47"/>
  <c r="E35" i="47"/>
  <c r="F35" i="47"/>
  <c r="E70" i="47"/>
  <c r="F70" i="47"/>
  <c r="E64" i="47"/>
  <c r="F64" i="47"/>
  <c r="E60" i="47"/>
  <c r="F60" i="47"/>
  <c r="E43" i="47"/>
  <c r="F43" i="47"/>
  <c r="E30" i="47"/>
  <c r="F30" i="47"/>
  <c r="E28" i="47"/>
  <c r="F28" i="47"/>
  <c r="E26" i="47"/>
  <c r="F26" i="47"/>
  <c r="E24" i="47"/>
  <c r="F24" i="47"/>
  <c r="E7" i="47"/>
  <c r="E16" i="47"/>
  <c r="F16" i="47"/>
  <c r="E66" i="47"/>
  <c r="F66" i="47"/>
  <c r="E68" i="47"/>
  <c r="F68" i="47"/>
  <c r="E8" i="47"/>
  <c r="E65" i="47"/>
  <c r="F65" i="47"/>
  <c r="E61" i="47"/>
  <c r="F61" i="47"/>
  <c r="E56" i="47"/>
  <c r="F56" i="47"/>
  <c r="E51" i="47"/>
  <c r="F51" i="47"/>
  <c r="E49" i="47"/>
  <c r="F49" i="47"/>
  <c r="E44" i="47"/>
  <c r="F44" i="47"/>
  <c r="E38" i="47"/>
  <c r="F38" i="47"/>
  <c r="E36" i="47"/>
  <c r="F36" i="47"/>
  <c r="E20" i="47"/>
  <c r="F20" i="47"/>
  <c r="E18" i="47"/>
  <c r="F18" i="47"/>
  <c r="E71" i="47"/>
  <c r="F71" i="47"/>
  <c r="E67" i="47"/>
  <c r="F67" i="47"/>
  <c r="E62" i="47"/>
  <c r="F62" i="47"/>
  <c r="E57" i="47"/>
  <c r="F57" i="47"/>
  <c r="E31" i="47"/>
  <c r="F31" i="47"/>
  <c r="E29" i="47"/>
  <c r="F29" i="47"/>
  <c r="E27" i="47"/>
  <c r="F27" i="47"/>
  <c r="E25" i="47"/>
  <c r="F25" i="47"/>
  <c r="E19" i="47"/>
  <c r="F19" i="47"/>
  <c r="E15" i="47"/>
  <c r="F15" i="47"/>
  <c r="E17" i="47"/>
  <c r="F17" i="47"/>
  <c r="E6" i="12"/>
  <c r="G59" i="107"/>
  <c r="G56" i="107"/>
  <c r="H58" i="31"/>
  <c r="H65" i="47"/>
  <c r="G58" i="107"/>
  <c r="H15" i="31"/>
  <c r="H16" i="47"/>
  <c r="G15" i="107"/>
  <c r="H19" i="31"/>
  <c r="H20" i="47"/>
  <c r="G19" i="107"/>
  <c r="H25" i="31"/>
  <c r="H27" i="47"/>
  <c r="G25" i="107"/>
  <c r="H29" i="31"/>
  <c r="H31" i="47"/>
  <c r="G29" i="107"/>
  <c r="H35" i="31"/>
  <c r="H38" i="47"/>
  <c r="G35" i="107"/>
  <c r="H46" i="31"/>
  <c r="H51" i="47"/>
  <c r="G46" i="107"/>
  <c r="H10" i="31"/>
  <c r="H10" i="47"/>
  <c r="H14" i="31"/>
  <c r="G14" i="107"/>
  <c r="H28" i="31"/>
  <c r="H30" i="47"/>
  <c r="G28" i="107"/>
  <c r="H34" i="31"/>
  <c r="H37" i="47"/>
  <c r="G34" i="107"/>
  <c r="H40" i="31"/>
  <c r="H44" i="47"/>
  <c r="G40" i="107"/>
  <c r="H17" i="31"/>
  <c r="H18" i="47"/>
  <c r="G17" i="107"/>
  <c r="G55" i="107"/>
  <c r="H53" i="31"/>
  <c r="H60" i="47"/>
  <c r="G53" i="107"/>
  <c r="H16" i="31"/>
  <c r="H17" i="47"/>
  <c r="G16" i="107"/>
  <c r="H23" i="31"/>
  <c r="H25" i="47"/>
  <c r="G23" i="107"/>
  <c r="G27" i="107"/>
  <c r="H33" i="31"/>
  <c r="H36" i="47"/>
  <c r="G33" i="107"/>
  <c r="G54" i="107"/>
  <c r="H60" i="31"/>
  <c r="H67" i="47"/>
  <c r="G60" i="107"/>
  <c r="H7" i="31"/>
  <c r="H7" i="47"/>
  <c r="H18" i="31"/>
  <c r="H19" i="47"/>
  <c r="G18" i="107"/>
  <c r="H24" i="31"/>
  <c r="H26" i="47"/>
  <c r="G24" i="107"/>
  <c r="H44" i="31"/>
  <c r="H49" i="47"/>
  <c r="G44" i="107"/>
  <c r="G50" i="107"/>
  <c r="G52" i="107"/>
  <c r="H57" i="31"/>
  <c r="H64" i="47"/>
  <c r="G57" i="107"/>
  <c r="F8" i="107"/>
  <c r="D8" i="107"/>
  <c r="G60" i="31"/>
  <c r="H55" i="31"/>
  <c r="H62" i="47"/>
  <c r="H27" i="31"/>
  <c r="H29" i="47"/>
  <c r="H49" i="31"/>
  <c r="H56" i="47"/>
  <c r="H59" i="31"/>
  <c r="H95" i="31"/>
  <c r="H93" i="31"/>
  <c r="H52" i="31"/>
  <c r="H59" i="47"/>
  <c r="H54" i="31"/>
  <c r="H61" i="47"/>
  <c r="H91" i="31"/>
  <c r="H92" i="31"/>
  <c r="H50" i="31"/>
  <c r="H57" i="47"/>
  <c r="H56" i="31"/>
  <c r="H63" i="47"/>
  <c r="H15" i="47"/>
  <c r="G14" i="31"/>
  <c r="G85" i="50"/>
  <c r="J69" i="31"/>
  <c r="F85" i="50"/>
  <c r="H8" i="47"/>
  <c r="G53" i="31"/>
  <c r="E17" i="14"/>
  <c r="H17" i="14"/>
  <c r="H39" i="31"/>
  <c r="H43" i="47"/>
  <c r="G41" i="50"/>
  <c r="J41" i="31"/>
  <c r="G90" i="31"/>
  <c r="H13" i="31"/>
  <c r="G20" i="50"/>
  <c r="J20" i="31"/>
  <c r="H22" i="31"/>
  <c r="H32" i="31"/>
  <c r="H6" i="31"/>
  <c r="F6" i="31"/>
  <c r="D6" i="31"/>
  <c r="G11" i="50"/>
  <c r="J11" i="31"/>
  <c r="F41" i="50"/>
  <c r="F11" i="50"/>
  <c r="F20" i="50"/>
  <c r="G32" i="107"/>
  <c r="F7" i="107"/>
  <c r="D7" i="107"/>
  <c r="K11" i="107"/>
  <c r="G49" i="107"/>
  <c r="H41" i="107"/>
  <c r="K41" i="107"/>
  <c r="G39" i="107"/>
  <c r="H20" i="107"/>
  <c r="K20" i="107"/>
  <c r="G13" i="107"/>
  <c r="G22" i="107"/>
  <c r="G59" i="31"/>
  <c r="H66" i="47"/>
  <c r="G27" i="31"/>
  <c r="E17" i="18"/>
  <c r="H17" i="18"/>
  <c r="E17" i="1"/>
  <c r="H17" i="1"/>
  <c r="E16" i="1"/>
  <c r="H16" i="1"/>
  <c r="H6" i="47"/>
  <c r="H11" i="31"/>
  <c r="K11" i="31"/>
  <c r="H35" i="47"/>
  <c r="H24" i="47"/>
  <c r="H20" i="31"/>
  <c r="K20" i="31"/>
  <c r="H14" i="47"/>
  <c r="H69" i="31"/>
  <c r="K69" i="31"/>
  <c r="I6" i="97"/>
  <c r="I6" i="91"/>
  <c r="I6" i="87"/>
  <c r="I6" i="83"/>
  <c r="I6" i="99"/>
  <c r="I6" i="95"/>
  <c r="I6" i="89"/>
  <c r="I6" i="85"/>
  <c r="J76" i="47"/>
  <c r="F6" i="99"/>
  <c r="F6" i="95"/>
  <c r="F6" i="89"/>
  <c r="F6" i="85"/>
  <c r="F6" i="97"/>
  <c r="F6" i="91"/>
  <c r="F6" i="87"/>
  <c r="F6" i="83"/>
  <c r="E6" i="97"/>
  <c r="E6" i="91"/>
  <c r="E6" i="87"/>
  <c r="E6" i="99"/>
  <c r="E6" i="95"/>
  <c r="E6" i="89"/>
  <c r="J21" i="47"/>
  <c r="J11" i="47"/>
  <c r="F6" i="61"/>
  <c r="F6" i="41"/>
  <c r="F6" i="65"/>
  <c r="F6" i="69"/>
  <c r="F6" i="57"/>
  <c r="F6" i="42"/>
  <c r="F6" i="67"/>
  <c r="E6" i="41"/>
  <c r="E6" i="57"/>
  <c r="E6" i="65"/>
  <c r="E6" i="69"/>
  <c r="E6" i="67"/>
  <c r="E6" i="42"/>
  <c r="E6" i="61"/>
  <c r="K6" i="69"/>
  <c r="K6" i="65"/>
  <c r="K6" i="61"/>
  <c r="K6" i="57"/>
  <c r="K6" i="67"/>
  <c r="K6" i="42"/>
  <c r="K6" i="41"/>
  <c r="E6" i="4"/>
  <c r="H6" i="4"/>
  <c r="E16" i="18"/>
  <c r="H16" i="18"/>
  <c r="E14" i="18"/>
  <c r="H14" i="18"/>
  <c r="E13" i="18"/>
  <c r="H13" i="18"/>
  <c r="E12" i="18"/>
  <c r="H12" i="18"/>
  <c r="E11" i="18"/>
  <c r="H11" i="18"/>
  <c r="E15" i="14"/>
  <c r="H15" i="14"/>
  <c r="E14" i="14"/>
  <c r="H14" i="14"/>
  <c r="E13" i="14"/>
  <c r="H13" i="14"/>
  <c r="E12" i="14"/>
  <c r="H12" i="14"/>
  <c r="E11" i="14"/>
  <c r="H11" i="14"/>
  <c r="E15" i="13"/>
  <c r="H15" i="13"/>
  <c r="E14" i="13"/>
  <c r="H14" i="13"/>
  <c r="E13" i="13"/>
  <c r="H13" i="13"/>
  <c r="E12" i="13"/>
  <c r="H12" i="13"/>
  <c r="E11" i="13"/>
  <c r="H11" i="13"/>
  <c r="H20" i="13"/>
  <c r="H23" i="14"/>
  <c r="E15" i="1"/>
  <c r="H15" i="1"/>
  <c r="E14" i="1"/>
  <c r="H14" i="1"/>
  <c r="E13" i="1"/>
  <c r="H13" i="1"/>
  <c r="E12" i="1"/>
  <c r="H12" i="1"/>
  <c r="G6" i="17"/>
  <c r="G6" i="11"/>
  <c r="G6" i="8"/>
  <c r="H6" i="8"/>
  <c r="G6" i="15"/>
  <c r="G6" i="10"/>
  <c r="G6" i="12"/>
  <c r="H6" i="12"/>
  <c r="G6" i="16"/>
  <c r="G6" i="9"/>
  <c r="G50" i="31"/>
  <c r="G58" i="47"/>
  <c r="G66" i="47"/>
  <c r="G55" i="31"/>
  <c r="F8" i="47"/>
  <c r="D8" i="47"/>
  <c r="G51" i="47"/>
  <c r="G46" i="31"/>
  <c r="G51" i="31"/>
  <c r="G59" i="47"/>
  <c r="G93" i="31"/>
  <c r="G63" i="47"/>
  <c r="G57" i="31"/>
  <c r="F7" i="47"/>
  <c r="D7" i="47"/>
  <c r="G40" i="31"/>
  <c r="G44" i="47"/>
  <c r="G91" i="31"/>
  <c r="G60" i="47"/>
  <c r="G64" i="47"/>
  <c r="G58" i="31"/>
  <c r="G71" i="47"/>
  <c r="G68" i="47"/>
  <c r="G56" i="31"/>
  <c r="G92" i="31"/>
  <c r="G61" i="47"/>
  <c r="G54" i="31"/>
  <c r="G65" i="47"/>
  <c r="G44" i="31"/>
  <c r="G49" i="47"/>
  <c r="G49" i="31"/>
  <c r="G57" i="47"/>
  <c r="G52" i="31"/>
  <c r="G62" i="47"/>
  <c r="G96" i="31"/>
  <c r="G70" i="47"/>
  <c r="G69" i="47"/>
  <c r="G95" i="31"/>
  <c r="G67" i="47"/>
  <c r="G94" i="31"/>
  <c r="G38" i="47"/>
  <c r="G15" i="47"/>
  <c r="G16" i="47"/>
  <c r="G18" i="31"/>
  <c r="G19" i="47"/>
  <c r="G31" i="47"/>
  <c r="H21" i="47"/>
  <c r="G14" i="47"/>
  <c r="H76" i="47"/>
  <c r="G56" i="47"/>
  <c r="G34" i="31"/>
  <c r="G37" i="47"/>
  <c r="G30" i="47"/>
  <c r="G23" i="31"/>
  <c r="G24" i="31"/>
  <c r="G26" i="47"/>
  <c r="G16" i="31"/>
  <c r="G20" i="47"/>
  <c r="G17" i="31"/>
  <c r="F6" i="47"/>
  <c r="D6" i="47"/>
  <c r="H11" i="47"/>
  <c r="K11" i="47"/>
  <c r="G33" i="31"/>
  <c r="G29" i="47"/>
  <c r="G25" i="31"/>
  <c r="H45" i="47"/>
  <c r="H46" i="47"/>
  <c r="G43" i="47"/>
  <c r="G22" i="31"/>
  <c r="G35" i="31"/>
  <c r="G15" i="31"/>
  <c r="G29" i="31"/>
  <c r="G13" i="31"/>
  <c r="G28" i="31"/>
  <c r="G25" i="47"/>
  <c r="G17" i="47"/>
  <c r="G19" i="31"/>
  <c r="G18" i="47"/>
  <c r="G36" i="47"/>
  <c r="G27" i="47"/>
  <c r="G39" i="31"/>
  <c r="H41" i="31"/>
  <c r="K41" i="31"/>
  <c r="G32" i="31"/>
  <c r="G35" i="47"/>
  <c r="G24" i="47"/>
  <c r="H77" i="47"/>
  <c r="K76" i="47"/>
  <c r="H22" i="47"/>
  <c r="K21" i="47"/>
  <c r="J45" i="47"/>
  <c r="K45" i="47"/>
  <c r="I6" i="67"/>
  <c r="I6" i="41"/>
  <c r="I6" i="65"/>
  <c r="I6" i="57"/>
  <c r="I6" i="42"/>
  <c r="I6" i="61"/>
  <c r="I6" i="69"/>
  <c r="H12" i="47"/>
  <c r="F6" i="46"/>
  <c r="F6" i="38"/>
  <c r="F6" i="43"/>
  <c r="F6" i="39"/>
  <c r="F6" i="35"/>
  <c r="F6" i="34"/>
  <c r="F6" i="36"/>
  <c r="F6" i="44"/>
  <c r="F6" i="40"/>
  <c r="F6" i="45"/>
  <c r="F6" i="37"/>
  <c r="F6" i="32"/>
  <c r="F6" i="33"/>
  <c r="I6" i="45"/>
  <c r="I6" i="37"/>
  <c r="I6" i="44"/>
  <c r="I6" i="40"/>
  <c r="I6" i="33"/>
  <c r="I6" i="36"/>
  <c r="I6" i="34"/>
  <c r="I6" i="43"/>
  <c r="I6" i="39"/>
  <c r="I6" i="46"/>
  <c r="I6" i="38"/>
  <c r="I6" i="32"/>
  <c r="I6" i="35"/>
  <c r="K6" i="43"/>
  <c r="K6" i="39"/>
  <c r="K6" i="46"/>
  <c r="K6" i="38"/>
  <c r="K6" i="32"/>
  <c r="K6" i="35"/>
  <c r="K6" i="45"/>
  <c r="K6" i="37"/>
  <c r="K6" i="44"/>
  <c r="K6" i="40"/>
  <c r="K6" i="33"/>
  <c r="K6" i="36"/>
  <c r="K6" i="34"/>
  <c r="E21" i="18"/>
  <c r="H21" i="18"/>
  <c r="E6" i="18"/>
  <c r="H6" i="18"/>
  <c r="E18" i="18"/>
  <c r="M20" i="105"/>
  <c r="Z20" i="105"/>
  <c r="M45" i="105"/>
  <c r="Z45" i="105"/>
  <c r="G149" i="102"/>
  <c r="J21" i="18"/>
  <c r="H18" i="18"/>
  <c r="H22" i="18"/>
  <c r="H27" i="18"/>
  <c r="E22" i="17"/>
  <c r="E6" i="17"/>
  <c r="H6" i="17"/>
  <c r="E6" i="16"/>
  <c r="H6" i="16"/>
  <c r="E23" i="15"/>
  <c r="E6" i="15"/>
  <c r="H6" i="15"/>
  <c r="H25" i="13"/>
  <c r="E6" i="13"/>
  <c r="H6" i="13"/>
  <c r="E22" i="12"/>
  <c r="E6" i="11"/>
  <c r="H6" i="11"/>
  <c r="E6" i="10"/>
  <c r="H6" i="10"/>
  <c r="E6" i="9"/>
  <c r="H6" i="9"/>
  <c r="H20" i="8"/>
  <c r="J20" i="8"/>
  <c r="H19" i="8"/>
  <c r="H21" i="8"/>
  <c r="C92" i="53"/>
  <c r="B91" i="53"/>
  <c r="J149" i="102"/>
  <c r="C6" i="36"/>
  <c r="J19" i="8"/>
  <c r="J21" i="8"/>
  <c r="J22" i="8"/>
  <c r="R47" i="105"/>
  <c r="R48" i="105"/>
  <c r="M46" i="105"/>
  <c r="Z46" i="105"/>
  <c r="J18" i="18"/>
  <c r="J22" i="18"/>
  <c r="M47" i="105"/>
  <c r="M48" i="105"/>
  <c r="D6" i="46"/>
  <c r="D6" i="41"/>
  <c r="C6" i="39"/>
  <c r="C6" i="40"/>
  <c r="C6" i="41"/>
  <c r="C6" i="45"/>
  <c r="C6" i="37"/>
  <c r="C6" i="38"/>
  <c r="C6" i="43"/>
  <c r="C6" i="44"/>
  <c r="H28" i="14"/>
  <c r="H24" i="15"/>
  <c r="H23" i="17"/>
  <c r="H7" i="18"/>
  <c r="C6" i="35"/>
  <c r="H23" i="12"/>
  <c r="H7" i="13"/>
  <c r="H23" i="10"/>
  <c r="H23" i="11"/>
  <c r="H23" i="9"/>
  <c r="H27" i="8"/>
  <c r="H27" i="7"/>
  <c r="H26" i="5"/>
  <c r="H7" i="8"/>
  <c r="H7" i="7"/>
  <c r="H7" i="5"/>
  <c r="H28" i="18"/>
  <c r="C6" i="46"/>
  <c r="C6" i="42"/>
  <c r="D6" i="42"/>
  <c r="D6" i="34"/>
  <c r="D6" i="39"/>
  <c r="C6" i="34"/>
  <c r="D6" i="37"/>
  <c r="D6" i="38"/>
  <c r="H22" i="8"/>
  <c r="H22" i="7"/>
  <c r="H7" i="9"/>
  <c r="H26" i="13"/>
  <c r="B6" i="46"/>
  <c r="H7" i="17"/>
  <c r="H7" i="16"/>
  <c r="D6" i="45"/>
  <c r="D6" i="43"/>
  <c r="H28" i="8"/>
  <c r="D6" i="36"/>
  <c r="H28" i="7"/>
  <c r="D6" i="35"/>
  <c r="H7" i="15"/>
  <c r="H25" i="15"/>
  <c r="H7" i="14"/>
  <c r="B6" i="41"/>
  <c r="D6" i="40"/>
  <c r="H7" i="12"/>
  <c r="H24" i="12"/>
  <c r="H7" i="11"/>
  <c r="H7" i="10"/>
  <c r="B6" i="37"/>
  <c r="B6" i="34"/>
  <c r="B6" i="36"/>
  <c r="H8" i="8"/>
  <c r="B6" i="35"/>
  <c r="H8" i="7"/>
  <c r="H24" i="9"/>
  <c r="H29" i="7"/>
  <c r="H30" i="7"/>
  <c r="H29" i="8"/>
  <c r="H30" i="8"/>
  <c r="H27" i="5"/>
  <c r="H24" i="17"/>
  <c r="B6" i="44"/>
  <c r="H24" i="10"/>
  <c r="B6" i="43"/>
  <c r="H29" i="14"/>
  <c r="B6" i="45"/>
  <c r="B6" i="42"/>
  <c r="B6" i="40"/>
  <c r="H24" i="11"/>
  <c r="B6" i="39"/>
  <c r="B6" i="38"/>
  <c r="E19" i="4"/>
  <c r="H19" i="4"/>
  <c r="J19" i="4"/>
  <c r="E18" i="4"/>
  <c r="H18" i="4"/>
  <c r="H20" i="4"/>
  <c r="E20" i="1"/>
  <c r="H20" i="1"/>
  <c r="J20" i="1"/>
  <c r="J18" i="4"/>
  <c r="J20" i="4"/>
  <c r="O47" i="105"/>
  <c r="O48" i="105"/>
  <c r="H7" i="4"/>
  <c r="H25" i="4"/>
  <c r="D6" i="33"/>
  <c r="C6" i="33"/>
  <c r="B6" i="33"/>
  <c r="H26" i="4"/>
  <c r="E19" i="1"/>
  <c r="H19" i="1"/>
  <c r="J19" i="1"/>
  <c r="E18" i="1"/>
  <c r="H18" i="1"/>
  <c r="E6" i="1"/>
  <c r="H6" i="1"/>
  <c r="J18" i="1"/>
  <c r="H21" i="1"/>
  <c r="J21" i="1"/>
  <c r="N47" i="105"/>
  <c r="N48" i="105"/>
  <c r="H26" i="1"/>
  <c r="H7" i="1"/>
  <c r="D6" i="32"/>
  <c r="C6" i="32"/>
  <c r="H27" i="1"/>
  <c r="B6" i="32"/>
  <c r="E6" i="45"/>
  <c r="E6" i="43"/>
  <c r="E6" i="39"/>
  <c r="E6" i="37"/>
  <c r="E6" i="46"/>
  <c r="E6" i="44"/>
  <c r="E6" i="40"/>
  <c r="E6" i="38"/>
  <c r="E6" i="36"/>
  <c r="E6" i="35"/>
  <c r="E6" i="34"/>
  <c r="E6" i="33"/>
  <c r="E6" i="32"/>
  <c r="D26" i="53"/>
  <c r="D30" i="53"/>
  <c r="C26" i="50"/>
  <c r="C30" i="50"/>
  <c r="I29" i="50"/>
  <c r="I30" i="50"/>
  <c r="D26" i="50"/>
  <c r="F26" i="50"/>
  <c r="F30" i="50"/>
  <c r="H26" i="107"/>
  <c r="H30" i="50"/>
  <c r="J30" i="107"/>
  <c r="D30" i="50"/>
  <c r="J30" i="50"/>
  <c r="G30" i="50"/>
  <c r="J30" i="31"/>
  <c r="H26" i="31"/>
  <c r="G26" i="31"/>
  <c r="G26" i="107"/>
  <c r="H30" i="107"/>
  <c r="K30" i="107"/>
  <c r="H30" i="31"/>
  <c r="K30" i="31"/>
  <c r="H28" i="47"/>
  <c r="G6" i="97"/>
  <c r="G6" i="91"/>
  <c r="G6" i="87"/>
  <c r="G6" i="83"/>
  <c r="G6" i="99"/>
  <c r="G6" i="95"/>
  <c r="G6" i="89"/>
  <c r="G6" i="85"/>
  <c r="G6" i="65"/>
  <c r="J32" i="47"/>
  <c r="H32" i="47"/>
  <c r="H33" i="47"/>
  <c r="G6" i="46"/>
  <c r="G6" i="32"/>
  <c r="G6" i="35"/>
  <c r="G6" i="38"/>
  <c r="G6" i="45"/>
  <c r="G6" i="41"/>
  <c r="G6" i="37"/>
  <c r="G6" i="44"/>
  <c r="G6" i="69"/>
  <c r="G6" i="42"/>
  <c r="G6" i="40"/>
  <c r="G6" i="33"/>
  <c r="G6" i="57"/>
  <c r="G6" i="36"/>
  <c r="G6" i="34"/>
  <c r="G6" i="67"/>
  <c r="G6" i="61"/>
  <c r="G6" i="43"/>
  <c r="G6" i="39"/>
  <c r="G28" i="47"/>
  <c r="K32" i="47"/>
  <c r="B5" i="81"/>
  <c r="N8" i="76"/>
  <c r="R8" i="76"/>
  <c r="S8" i="76"/>
  <c r="O8" i="76"/>
  <c r="C6" i="60"/>
  <c r="E6" i="60"/>
  <c r="H6" i="60"/>
  <c r="H7" i="60"/>
  <c r="H24" i="60"/>
  <c r="B6" i="61"/>
  <c r="O11" i="76"/>
  <c r="C6" i="66"/>
  <c r="E6" i="66"/>
  <c r="H6" i="66"/>
  <c r="H7" i="66"/>
  <c r="H24" i="66"/>
  <c r="B6" i="67"/>
  <c r="H23" i="16"/>
  <c r="D6" i="44"/>
  <c r="H24" i="16"/>
  <c r="M26" i="76"/>
  <c r="N12" i="76"/>
  <c r="O12" i="76"/>
  <c r="O26" i="76"/>
  <c r="C6" i="68"/>
  <c r="N26" i="76"/>
  <c r="R12" i="76"/>
  <c r="E6" i="68"/>
  <c r="S12" i="76"/>
  <c r="S26" i="76"/>
  <c r="R26" i="76"/>
  <c r="H6" i="68"/>
  <c r="H7" i="68"/>
  <c r="I46" i="53"/>
  <c r="C46" i="53"/>
  <c r="B6" i="69"/>
  <c r="H29" i="68"/>
  <c r="D46" i="53"/>
  <c r="C45" i="50"/>
  <c r="D45" i="50"/>
  <c r="I47" i="53"/>
  <c r="J46" i="53"/>
  <c r="H45" i="31"/>
  <c r="F45" i="50"/>
  <c r="G45" i="107"/>
  <c r="H50" i="47"/>
  <c r="G45" i="31"/>
  <c r="G50" i="47"/>
  <c r="H39" i="56"/>
  <c r="C6" i="57"/>
  <c r="E18" i="64"/>
  <c r="H18" i="64"/>
  <c r="J18" i="64"/>
  <c r="J32" i="64"/>
  <c r="J47" i="105"/>
  <c r="J48" i="105"/>
  <c r="H32" i="64"/>
  <c r="H38" i="64"/>
  <c r="C6" i="65"/>
  <c r="F7" i="31"/>
  <c r="D7" i="31"/>
  <c r="F8" i="31"/>
  <c r="D8" i="31"/>
  <c r="G7" i="102"/>
  <c r="G6" i="102"/>
  <c r="G9" i="102"/>
  <c r="M20" i="102"/>
  <c r="G5" i="102"/>
  <c r="G20" i="102"/>
  <c r="G4" i="102"/>
  <c r="L7" i="102"/>
  <c r="L8" i="102"/>
  <c r="L6" i="102"/>
  <c r="L5" i="102"/>
  <c r="K4" i="102"/>
  <c r="N18" i="102"/>
  <c r="G35" i="102"/>
  <c r="F35" i="102"/>
  <c r="J23" i="102"/>
  <c r="G23" i="102"/>
  <c r="C36" i="53"/>
  <c r="C37" i="53"/>
  <c r="D36" i="53"/>
  <c r="D37" i="53"/>
  <c r="C36" i="50"/>
  <c r="F37" i="53"/>
  <c r="L23" i="102"/>
  <c r="C37" i="50"/>
  <c r="D36" i="50"/>
  <c r="E37" i="53"/>
  <c r="G37" i="53"/>
  <c r="F36" i="50"/>
  <c r="F37" i="50"/>
  <c r="I37" i="50"/>
  <c r="I36" i="50"/>
  <c r="D37" i="50"/>
  <c r="D87" i="50"/>
  <c r="J37" i="50"/>
  <c r="H37" i="50"/>
  <c r="J37" i="107"/>
  <c r="H36" i="107"/>
  <c r="G37" i="50"/>
  <c r="J37" i="31"/>
  <c r="H36" i="31"/>
  <c r="G36" i="31"/>
  <c r="H39" i="47"/>
  <c r="H37" i="31"/>
  <c r="K37" i="31"/>
  <c r="G36" i="107"/>
  <c r="H37" i="107"/>
  <c r="K37" i="107"/>
  <c r="H6" i="85"/>
  <c r="H6" i="97"/>
  <c r="H6" i="99"/>
  <c r="H6" i="89"/>
  <c r="H6" i="95"/>
  <c r="H6" i="87"/>
  <c r="H6" i="91"/>
  <c r="H6" i="83"/>
  <c r="G39" i="47"/>
  <c r="H40" i="47"/>
  <c r="J40" i="47"/>
  <c r="H6" i="40"/>
  <c r="H6" i="42"/>
  <c r="H6" i="34"/>
  <c r="H6" i="33"/>
  <c r="H6" i="45"/>
  <c r="H6" i="39"/>
  <c r="H6" i="35"/>
  <c r="H6" i="46"/>
  <c r="H6" i="37"/>
  <c r="H6" i="69"/>
  <c r="H6" i="44"/>
  <c r="H6" i="41"/>
  <c r="H6" i="57"/>
  <c r="H6" i="43"/>
  <c r="H6" i="36"/>
  <c r="H6" i="32"/>
  <c r="H6" i="38"/>
  <c r="H6" i="61"/>
  <c r="H6" i="67"/>
  <c r="H6" i="65"/>
  <c r="K40" i="47"/>
  <c r="H41" i="47"/>
  <c r="C43" i="50"/>
  <c r="D43" i="50"/>
  <c r="D43" i="53"/>
  <c r="D48" i="53"/>
  <c r="C48" i="53"/>
  <c r="F43" i="50"/>
  <c r="E48" i="53"/>
  <c r="C87" i="53"/>
  <c r="C89" i="53"/>
  <c r="F49" i="53"/>
  <c r="F50" i="53"/>
  <c r="C47" i="50"/>
  <c r="I46" i="50"/>
  <c r="I47" i="50"/>
  <c r="C87" i="50"/>
  <c r="C88" i="50"/>
  <c r="F47" i="50"/>
  <c r="F86" i="50"/>
  <c r="D47" i="50"/>
  <c r="H43" i="107"/>
  <c r="H47" i="50"/>
  <c r="J47" i="50"/>
  <c r="H43" i="31"/>
  <c r="G47" i="50"/>
  <c r="H86" i="50"/>
  <c r="J84" i="107"/>
  <c r="J47" i="107"/>
  <c r="G86" i="50"/>
  <c r="J70" i="31"/>
  <c r="J47" i="31"/>
  <c r="H48" i="47"/>
  <c r="G43" i="31"/>
  <c r="H47" i="31"/>
  <c r="K47" i="31"/>
  <c r="G43" i="107"/>
  <c r="H47" i="107"/>
  <c r="K47" i="107"/>
  <c r="J6" i="99"/>
  <c r="L6" i="99"/>
  <c r="J32" i="77"/>
  <c r="J6" i="89"/>
  <c r="L6" i="89"/>
  <c r="J28" i="77"/>
  <c r="J6" i="97"/>
  <c r="L6" i="97"/>
  <c r="J31" i="77"/>
  <c r="J6" i="87"/>
  <c r="L6" i="87"/>
  <c r="J27" i="77"/>
  <c r="J6" i="95"/>
  <c r="L6" i="95"/>
  <c r="J30" i="77"/>
  <c r="J6" i="85"/>
  <c r="J6" i="91"/>
  <c r="L6" i="91"/>
  <c r="J29" i="77"/>
  <c r="J6" i="83"/>
  <c r="H84" i="107"/>
  <c r="K84" i="107"/>
  <c r="L6" i="113"/>
  <c r="J6" i="45"/>
  <c r="L6" i="45"/>
  <c r="J24" i="77"/>
  <c r="J6" i="67"/>
  <c r="L6" i="67"/>
  <c r="J10" i="77"/>
  <c r="J6" i="34"/>
  <c r="L6" i="34"/>
  <c r="J15" i="77"/>
  <c r="J6" i="37"/>
  <c r="L6" i="37"/>
  <c r="J18" i="77"/>
  <c r="J53" i="47"/>
  <c r="J6" i="42"/>
  <c r="L6" i="42"/>
  <c r="J8" i="77"/>
  <c r="J6" i="65"/>
  <c r="L6" i="65"/>
  <c r="J6" i="41"/>
  <c r="L6" i="41"/>
  <c r="J6" i="77"/>
  <c r="J6" i="39"/>
  <c r="L6" i="39"/>
  <c r="J20" i="77"/>
  <c r="J6" i="43"/>
  <c r="L6" i="43"/>
  <c r="J22" i="77"/>
  <c r="J6" i="35"/>
  <c r="L6" i="35"/>
  <c r="J16" i="77"/>
  <c r="L6" i="115"/>
  <c r="L6" i="117"/>
  <c r="J6" i="38"/>
  <c r="L6" i="38"/>
  <c r="J19" i="77"/>
  <c r="J6" i="57"/>
  <c r="L6" i="57"/>
  <c r="J5" i="77"/>
  <c r="J6" i="33"/>
  <c r="L6" i="33"/>
  <c r="J14" i="77"/>
  <c r="J6" i="36"/>
  <c r="L6" i="36"/>
  <c r="J17" i="77"/>
  <c r="J6" i="40"/>
  <c r="L6" i="40"/>
  <c r="J21" i="77"/>
  <c r="J6" i="46"/>
  <c r="L6" i="46"/>
  <c r="J12" i="77"/>
  <c r="J6" i="69"/>
  <c r="L6" i="69"/>
  <c r="J6" i="44"/>
  <c r="L6" i="44"/>
  <c r="J23" i="77"/>
  <c r="J6" i="61"/>
  <c r="L6" i="61"/>
  <c r="J7" i="77"/>
  <c r="J6" i="32"/>
  <c r="L6" i="32"/>
  <c r="J13" i="77"/>
  <c r="H70" i="31"/>
  <c r="G48" i="47"/>
  <c r="H53" i="47"/>
  <c r="K53" i="47"/>
  <c r="H82" i="47"/>
  <c r="K70" i="31"/>
  <c r="H54" i="47"/>
  <c r="H79" i="47"/>
  <c r="H78" i="47"/>
  <c r="K13" i="77"/>
  <c r="N13" i="77"/>
  <c r="D12" i="79"/>
  <c r="G12" i="79"/>
  <c r="K23" i="77"/>
  <c r="N23" i="77"/>
  <c r="D22" i="79"/>
  <c r="G22" i="79"/>
  <c r="D11" i="79"/>
  <c r="G11" i="79"/>
  <c r="K12" i="77"/>
  <c r="N12" i="77"/>
  <c r="K17" i="77"/>
  <c r="N17" i="77"/>
  <c r="D16" i="79"/>
  <c r="G16" i="79"/>
  <c r="D4" i="79"/>
  <c r="G4" i="79"/>
  <c r="K5" i="77"/>
  <c r="D35" i="79"/>
  <c r="G35" i="79"/>
  <c r="K37" i="77"/>
  <c r="N37" i="77"/>
  <c r="P37" i="77"/>
  <c r="D15" i="79"/>
  <c r="G15" i="79"/>
  <c r="K16" i="77"/>
  <c r="N16" i="77"/>
  <c r="D19" i="79"/>
  <c r="G19" i="79"/>
  <c r="K20" i="77"/>
  <c r="N20" i="77"/>
  <c r="L8" i="65"/>
  <c r="J9" i="77"/>
  <c r="K15" i="77"/>
  <c r="N15" i="77"/>
  <c r="D14" i="79"/>
  <c r="G14" i="79"/>
  <c r="K24" i="77"/>
  <c r="N24" i="77"/>
  <c r="D23" i="79"/>
  <c r="G23" i="79"/>
  <c r="J38" i="77"/>
  <c r="D24" i="79"/>
  <c r="G24" i="79"/>
  <c r="K25" i="77"/>
  <c r="K26" i="77"/>
  <c r="N26" i="77"/>
  <c r="D25" i="79"/>
  <c r="G25" i="79"/>
  <c r="K27" i="77"/>
  <c r="N27" i="77"/>
  <c r="D26" i="79"/>
  <c r="G26" i="79"/>
  <c r="D27" i="79"/>
  <c r="G27" i="79"/>
  <c r="K28" i="77"/>
  <c r="N28" i="77"/>
  <c r="D6" i="79"/>
  <c r="G6" i="79"/>
  <c r="K7" i="77"/>
  <c r="N7" i="77"/>
  <c r="L8" i="69"/>
  <c r="J11" i="77"/>
  <c r="K21" i="77"/>
  <c r="N21" i="77"/>
  <c r="D20" i="79"/>
  <c r="G20" i="79"/>
  <c r="K14" i="77"/>
  <c r="N14" i="77"/>
  <c r="D13" i="79"/>
  <c r="G13" i="79"/>
  <c r="K19" i="77"/>
  <c r="N19" i="77"/>
  <c r="D18" i="79"/>
  <c r="G18" i="79"/>
  <c r="K36" i="77"/>
  <c r="N36" i="77"/>
  <c r="P36" i="77"/>
  <c r="D34" i="79"/>
  <c r="G34" i="79"/>
  <c r="K22" i="77"/>
  <c r="N22" i="77"/>
  <c r="D21" i="79"/>
  <c r="G21" i="79"/>
  <c r="D5" i="79"/>
  <c r="G5" i="79"/>
  <c r="K6" i="77"/>
  <c r="N6" i="77"/>
  <c r="D7" i="79"/>
  <c r="G7" i="79"/>
  <c r="K8" i="77"/>
  <c r="N8" i="77"/>
  <c r="K18" i="77"/>
  <c r="N18" i="77"/>
  <c r="D17" i="79"/>
  <c r="G17" i="79"/>
  <c r="D9" i="79"/>
  <c r="G9" i="79"/>
  <c r="K10" i="77"/>
  <c r="N10" i="77"/>
  <c r="D28" i="79"/>
  <c r="G28" i="79"/>
  <c r="K29" i="77"/>
  <c r="N29" i="77"/>
  <c r="D29" i="79"/>
  <c r="G29" i="79"/>
  <c r="K30" i="77"/>
  <c r="N30" i="77"/>
  <c r="K31" i="77"/>
  <c r="N31" i="77"/>
  <c r="D30" i="79"/>
  <c r="G30" i="79"/>
  <c r="D31" i="79"/>
  <c r="G31" i="79"/>
  <c r="K32" i="77"/>
  <c r="N32" i="77"/>
  <c r="H83" i="47"/>
  <c r="I83" i="47"/>
  <c r="I82" i="47"/>
  <c r="G36" i="79"/>
  <c r="K11" i="77"/>
  <c r="N11" i="77"/>
  <c r="D10" i="79"/>
  <c r="G10" i="79"/>
  <c r="N5" i="77"/>
  <c r="K38" i="77"/>
  <c r="N25" i="77"/>
  <c r="D8" i="79"/>
  <c r="G8" i="79"/>
  <c r="K9" i="77"/>
  <c r="N9" i="77"/>
  <c r="J40" i="77"/>
  <c r="N38" i="77"/>
  <c r="Q38" i="77"/>
  <c r="G38" i="79"/>
  <c r="K40" i="77"/>
  <c r="N40" i="77"/>
  <c r="Q40" i="77"/>
  <c r="L2" i="102"/>
  <c r="D77" i="53"/>
  <c r="G148" i="102"/>
  <c r="J147" i="102"/>
  <c r="K147" i="102"/>
  <c r="P147" i="102"/>
  <c r="K148" i="102"/>
  <c r="P148" i="102"/>
  <c r="P146" i="102"/>
  <c r="G146" i="102"/>
  <c r="G22" i="102"/>
  <c r="J146" i="102"/>
  <c r="J22" i="102"/>
  <c r="J3" i="102"/>
  <c r="D76" i="53"/>
  <c r="D86" i="53"/>
  <c r="K146" i="102"/>
  <c r="K22" i="102"/>
  <c r="P22" i="102"/>
  <c r="G3" i="102"/>
  <c r="B89" i="53"/>
  <c r="Q22" i="102"/>
  <c r="D87" i="53"/>
  <c r="O3" i="102"/>
  <c r="M2" i="102"/>
  <c r="K3" i="102"/>
  <c r="D89" i="53"/>
  <c r="B90" i="53"/>
  <c r="E6" i="110"/>
  <c r="H6" i="110"/>
  <c r="H7" i="110"/>
  <c r="H32" i="110"/>
  <c r="L24" i="120"/>
  <c r="B6" i="111"/>
  <c r="L6" i="111"/>
  <c r="K34" i="77"/>
  <c r="D32" i="79"/>
  <c r="G32" i="79"/>
  <c r="N34" i="77"/>
  <c r="P34" i="77"/>
  <c r="J22" i="122" l="1"/>
  <c r="J23" i="122" s="1"/>
  <c r="L23" i="122" s="1"/>
  <c r="J35" i="77"/>
  <c r="D233" i="106"/>
  <c r="Y235" i="106"/>
  <c r="Y236" i="106" s="1"/>
  <c r="Z233" i="106"/>
  <c r="D33" i="79" l="1"/>
  <c r="G33" i="79" s="1"/>
  <c r="J41" i="77"/>
  <c r="K35" i="77"/>
  <c r="J39" i="77"/>
  <c r="N35" i="77" l="1"/>
  <c r="K39" i="77"/>
  <c r="K41" i="77"/>
  <c r="G37" i="79"/>
  <c r="G39" i="79"/>
  <c r="N39" i="77" l="1"/>
  <c r="P35" i="77"/>
  <c r="N41" i="77"/>
  <c r="Q41" i="77" s="1"/>
  <c r="S40" i="77" l="1"/>
  <c r="Q39" i="77"/>
</calcChain>
</file>

<file path=xl/comments1.xml><?xml version="1.0" encoding="utf-8"?>
<comments xmlns="http://schemas.openxmlformats.org/spreadsheetml/2006/main">
  <authors>
    <author>Автор</author>
  </authors>
  <commentList>
    <comment ref="P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ФОТ ОА
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ЦК и ОА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региональный оператор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региональный оператор</t>
        </r>
      </text>
    </comment>
    <comment ref="F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среднее значение</t>
        </r>
      </text>
    </comment>
    <comment ref="A1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делается один на юр.лицо</t>
        </r>
      </text>
    </comment>
    <comment ref="N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9 мес.
</t>
        </r>
      </text>
    </comment>
    <comment ref="D1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налог на имущество???
</t>
        </r>
      </text>
    </comment>
    <comment ref="G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расчетная</t>
        </r>
      </text>
    </comment>
    <comment ref="K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плане ФХД</t>
        </r>
      </text>
    </comment>
    <comment ref="G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расчетная
</t>
        </r>
      </text>
    </comment>
    <comment ref="K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плане ФХД</t>
        </r>
      </text>
    </comment>
    <comment ref="J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расчету из прямых затрат
см.лист "МЗ по прямым"
</t>
        </r>
      </text>
    </comment>
    <comment ref="L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списано 1604 шт.</t>
        </r>
      </text>
    </comment>
    <comment ref="M1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14.10.2019 списано 1587</t>
        </r>
      </text>
    </comment>
    <comment ref="L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есть сканеры
</t>
        </r>
      </text>
    </comment>
    <comment ref="A1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спец.одежда вет врачи, санитары и пр.</t>
        </r>
      </text>
    </comment>
    <comment ref="G1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нормативов</t>
        </r>
      </text>
    </comment>
    <comment ref="A1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м3 в месяц на 1 печь
</t>
        </r>
      </text>
    </comment>
    <comment ref="G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2019 (закупка в июне 2019)</t>
        </r>
      </text>
    </comment>
    <comment ref="F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1м3 = 1 914,29 руб.</t>
        </r>
      </text>
    </comment>
    <comment ref="F1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 1м3 = 2 162 руб.</t>
        </r>
      </text>
    </comment>
    <comment ref="A1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бандажи, паспорта и пр.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1С и Контур.Экстерн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50% без отчисл.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Автор:
ФОТ с отчислениями за 2020г.</t>
        </r>
      </text>
    </comment>
    <comment ref="G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https://tv-tip.ru/nashi-uslugi/listovki/
А5 4+0 (100 шт.)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бензина АИ-92 за октябрь * 4% инфляция
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бензина АИ-92 за октябрь * 4% инфляция
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бензина АИ-92 за октябрь * 4% инфляция
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средняя цена бензина АИ-92 за октябрь * 4% инфляция
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Q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отклонение из-за ОХР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уборка снега</t>
        </r>
      </text>
    </comment>
    <comment ref="B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Начальник + 2 зама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картрижди</t>
        </r>
      </text>
    </comment>
    <comment ref="B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РВЛ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интерактивный стенд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поступление май 2019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B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с01.01.2020г.</t>
        </r>
      </text>
    </comment>
    <comment ref="Z2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 отпуску</t>
        </r>
      </text>
    </comment>
    <comment ref="Z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ФОТ на 2020г.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14 услуг РВЛ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227 - услуг станция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1 000 руб. - макет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50 чел.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1 000 руб. - макет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кофе-брейк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50 чел.</t>
        </r>
      </text>
    </comment>
  </commentList>
</comments>
</file>

<file path=xl/sharedStrings.xml><?xml version="1.0" encoding="utf-8"?>
<sst xmlns="http://schemas.openxmlformats.org/spreadsheetml/2006/main" count="5140" uniqueCount="1451">
  <si>
    <t>№ п/п</t>
  </si>
  <si>
    <t xml:space="preserve">Наименование ресурса </t>
  </si>
  <si>
    <t>Норма трудозатрат на оказание единицы государственной услуги (человеко-часов)</t>
  </si>
  <si>
    <t xml:space="preserve">Нормативные затраты </t>
  </si>
  <si>
    <t>Комментарий</t>
  </si>
  <si>
    <t>5=4/3</t>
  </si>
  <si>
    <t>7=5*6</t>
  </si>
  <si>
    <t>1. Оплата труда работников, непосредственно связанных с оказанием услуги</t>
  </si>
  <si>
    <t>ИТОГО оплата труда</t>
  </si>
  <si>
    <t>Наименование  (вид материального запаса/основного средства)</t>
  </si>
  <si>
    <t>Норма (шт.)</t>
  </si>
  <si>
    <t>Срок полезного использования, лет</t>
  </si>
  <si>
    <t>8=5*7/6</t>
  </si>
  <si>
    <t>2. Материальные запасы/основные средства, потребляемые в процессе оказания государственной услуги</t>
  </si>
  <si>
    <t>ИТОГО матзапасы/основные средства</t>
  </si>
  <si>
    <t>Срок полезного использования</t>
  </si>
  <si>
    <t>3. Иные ресурсы, непосредственно связанные с оказанием государственной услуги</t>
  </si>
  <si>
    <t>ИТОГО иные ресурсы</t>
  </si>
  <si>
    <t>ВСЕГО нормативные затраты, непосредственно связанные с оказанием услуги</t>
  </si>
  <si>
    <t>пробирка</t>
  </si>
  <si>
    <t>шприц, 10 мл</t>
  </si>
  <si>
    <t>перчатки смотровые</t>
  </si>
  <si>
    <t>шприц, 2 мл</t>
  </si>
  <si>
    <t>шприц, 5 мл</t>
  </si>
  <si>
    <t>компрессоры</t>
  </si>
  <si>
    <t>Содержание 1</t>
  </si>
  <si>
    <t>Содержание 2</t>
  </si>
  <si>
    <t>Форма оказания</t>
  </si>
  <si>
    <t>Ед. изм. Объема</t>
  </si>
  <si>
    <t>Количество услуг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</si>
  <si>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</si>
  <si>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Стационар</t>
  </si>
  <si>
    <t>Количество проб (Штука)</t>
  </si>
  <si>
    <t>Количество документов (Штука)</t>
  </si>
  <si>
    <t>На выезде</t>
  </si>
  <si>
    <t>Количество мероприятий (Единица)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</si>
  <si>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</si>
  <si>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Количество голов/тыс. голов (Тысяча голов)</t>
  </si>
  <si>
    <t>Количество голов/тыс. голов (Тысяча голов);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</si>
  <si>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</si>
  <si>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</si>
  <si>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Количество объектов (Штука)</t>
  </si>
  <si>
    <t>Проведение ветеринарно-санитарной экспертизы сырья и продукции животного происхождения на трихинеллез</t>
  </si>
  <si>
    <t>Проведение учета и контроля за состоянием скотомогильников, включая сибиреязвенные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</si>
  <si>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</si>
  <si>
    <t>ВСЕГО</t>
  </si>
  <si>
    <t>минуты</t>
  </si>
  <si>
    <t>выезд</t>
  </si>
  <si>
    <t>осмотр животного</t>
  </si>
  <si>
    <t>подготовительные работы</t>
  </si>
  <si>
    <t>основная работа</t>
  </si>
  <si>
    <t>ИТОГО минут на 1 услугу</t>
  </si>
  <si>
    <t>забор крови</t>
  </si>
  <si>
    <t xml:space="preserve">внутрикожная инъекция (по с/х животным);  проезд дважды </t>
  </si>
  <si>
    <t>вакцинация (мелкие животные)</t>
  </si>
  <si>
    <t>вакинация (с/х животных)</t>
  </si>
  <si>
    <t>пересчет федеральных биопрепаратов, заполнение журнала, составление акта</t>
  </si>
  <si>
    <t>составление акта</t>
  </si>
  <si>
    <t>работа в системе "Меркурий"</t>
  </si>
  <si>
    <t>ИТОГО фонд времени</t>
  </si>
  <si>
    <t>Расчет норматива затрат на общехозяйственных нужды</t>
  </si>
  <si>
    <t>Вид ресурса</t>
  </si>
  <si>
    <t>Наименование ресурса</t>
  </si>
  <si>
    <t>Наименование показателя объема</t>
  </si>
  <si>
    <t>Показатель объема</t>
  </si>
  <si>
    <t>Норма ресурса на единицу услуги</t>
  </si>
  <si>
    <t>Тариф (Цена), руб</t>
  </si>
  <si>
    <t>Плановые затраты</t>
  </si>
  <si>
    <t>Комментарий (обоснование использования ресурсов, их состава и количественных характеристик)</t>
  </si>
  <si>
    <t>1. Коммунальные услуги</t>
  </si>
  <si>
    <t>кВт час.</t>
  </si>
  <si>
    <t>Теплоэнергия</t>
  </si>
  <si>
    <t>Ккал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</si>
  <si>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</si>
  <si>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ИТОГО</t>
  </si>
  <si>
    <t>2. Содержание объектов недвижимого имущества, необходимого для выполнения государственного задания</t>
  </si>
  <si>
    <t>Техническое обслуживание и регламентно-профилактический ремонт систем охранно-тревожной сигнализации</t>
  </si>
  <si>
    <t>содержание и ТО общего имущества( Костомукша и Беломорск)</t>
  </si>
  <si>
    <t>Проведение текущего ремонта</t>
  </si>
  <si>
    <t>Содержание прилегающей территории</t>
  </si>
  <si>
    <t>Вывоз ТБО</t>
  </si>
  <si>
    <t>Охрана здания</t>
  </si>
  <si>
    <t>3. Содержание объектов особо ценного движимого имущества, необходимого для выполнения государственного задания</t>
  </si>
  <si>
    <t>Приобретение ГСМ</t>
  </si>
  <si>
    <t>Страхование а/м</t>
  </si>
  <si>
    <t>Предрейсовый осмотр</t>
  </si>
  <si>
    <t>Оплата зап.частей для а/м</t>
  </si>
  <si>
    <t>Техническое обслуживание и регламентно-профилактический ремонт систем видеонаблюдения</t>
  </si>
  <si>
    <t>4. Услуги связи</t>
  </si>
  <si>
    <t>Абонентская связь</t>
  </si>
  <si>
    <t>Оплата услуг сотовой связи</t>
  </si>
  <si>
    <t>Интернет</t>
  </si>
  <si>
    <t>5. Транспортные услуги</t>
  </si>
  <si>
    <t>Оплата разовых транспортных услуг (перевозка грузов, подвоз воды, дров)</t>
  </si>
  <si>
    <t>Оплата проезда работников к месту нахождения учебного заведения и обратно</t>
  </si>
  <si>
    <t>6. Работники, которые не принимают непосредственного участия в оказании государственной услуги</t>
  </si>
  <si>
    <t>7. Прочие общехозяйственные нужды</t>
  </si>
  <si>
    <t>Ремонт офисной техники</t>
  </si>
  <si>
    <t>Курсы повышения квалификации</t>
  </si>
  <si>
    <t>Приложение 2</t>
  </si>
  <si>
    <t>Количество услуг в единицах</t>
  </si>
  <si>
    <t>"сейф-пакет" (одноразовый пакет)</t>
  </si>
  <si>
    <t>Халат медицинский  (белый)</t>
  </si>
  <si>
    <t>Халат медицинский  (темно синий)</t>
  </si>
  <si>
    <t>Костюм медицинский (блузон и брюки)</t>
  </si>
  <si>
    <t>Костюм медицинский (куртка и брюки)</t>
  </si>
  <si>
    <t>Сапоги рабочие утепленные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</si>
  <si>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</si>
  <si>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</si>
  <si>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</si>
  <si>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</si>
  <si>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</si>
  <si>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</si>
  <si>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</si>
  <si>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</si>
  <si>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</si>
  <si>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</si>
  <si>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</si>
  <si>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</si>
  <si>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</si>
  <si>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</si>
  <si>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</si>
  <si>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211.213</t>
  </si>
  <si>
    <t>Нормативное количество  оказываемых услуг</t>
  </si>
  <si>
    <t>Номативное количество оказываемых услуг</t>
  </si>
  <si>
    <t>5 = 3/4</t>
  </si>
  <si>
    <t>по арендуемым помещениям</t>
  </si>
  <si>
    <t xml:space="preserve">Электроэнергия </t>
  </si>
  <si>
    <t>Возмещение коммунальных услуг</t>
  </si>
  <si>
    <t>211, 213</t>
  </si>
  <si>
    <t>мес</t>
  </si>
  <si>
    <t>Обслуживание и уборка помещений (санитары)</t>
  </si>
  <si>
    <t>единица</t>
  </si>
  <si>
    <t>7 = 6*5</t>
  </si>
  <si>
    <t>Тех.осмотр а/м</t>
  </si>
  <si>
    <t>Ремонт  а/м</t>
  </si>
  <si>
    <t>Оценка а/м</t>
  </si>
  <si>
    <t>Приобретение огнетушителей</t>
  </si>
  <si>
    <t>Отправка корреспонденции</t>
  </si>
  <si>
    <t>Администрация</t>
  </si>
  <si>
    <t>Планово-финансовый отдел; отдел правовой и кадровой работы</t>
  </si>
  <si>
    <t>Отдел транспортного обеспечения, отдел материально-тезнического обеспечения</t>
  </si>
  <si>
    <t>Аренда помещений</t>
  </si>
  <si>
    <t>Приобретение катриджей, зап.части ЭВМ</t>
  </si>
  <si>
    <t>Реестровый номер</t>
  </si>
  <si>
    <t>Код базовой услуги или работы</t>
  </si>
  <si>
    <t>Условие 1</t>
  </si>
  <si>
    <t>Наименование базовой услуги или работв</t>
  </si>
  <si>
    <t xml:space="preserve">Оформление и выдача ветеринарных сопроводительных документов </t>
  </si>
  <si>
    <t>Полотенце для рук</t>
  </si>
  <si>
    <t>Мыло туалетное</t>
  </si>
  <si>
    <t>Главный бухгалтер</t>
  </si>
  <si>
    <t>Затраты на приобретение основных средств</t>
  </si>
  <si>
    <t>Лабораторные исследования</t>
  </si>
  <si>
    <t>Изготовление ветеринарных свидетельств</t>
  </si>
  <si>
    <t>Обслуживание кассовых аппаратов</t>
  </si>
  <si>
    <t>Приобретение вет.препаратов, мед.товаров</t>
  </si>
  <si>
    <t>Основной персонал</t>
  </si>
  <si>
    <t>5=3/4</t>
  </si>
  <si>
    <t>в пересчете единиц измерения на "тысячу голов" норматив равен</t>
  </si>
  <si>
    <t>Наименование, содержание и форма оказания услуги государственной услуги</t>
  </si>
  <si>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</si>
  <si>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</si>
  <si>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</si>
  <si>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ОТ1</t>
  </si>
  <si>
    <t xml:space="preserve">МЗ </t>
  </si>
  <si>
    <t>ИЗ</t>
  </si>
  <si>
    <t>КУ</t>
  </si>
  <si>
    <t>СНИ</t>
  </si>
  <si>
    <t>СОЦДИ</t>
  </si>
  <si>
    <t>УС</t>
  </si>
  <si>
    <t>ТУ</t>
  </si>
  <si>
    <t>ОТ2</t>
  </si>
  <si>
    <t>ПНЗ</t>
  </si>
  <si>
    <t>Проведение плановых диагностических мероприятий на особо опасные болезни животных (птиц) и болезни общие для человека и животных (птиц); Стационар; Отбор проб</t>
  </si>
  <si>
    <t>Проведение плановых диагностических мероприятий на особо опасные болезни животных (птиц) и болезни общие для человека и животных (птиц); На выезде; Диагностические мероприятия</t>
  </si>
  <si>
    <t>Проведение плановых диагностических мероприятий на особо опасные болезни животных (птиц) и болезни общие для человека и животных (птиц); На выезде; Отбор проб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</si>
  <si>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(птиц); Стационар; Вакцинация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</si>
  <si>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(птиц); На выезде; Вакцинация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</si>
  <si>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применения; Стационар; Оформление документов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</si>
  <si>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происхождения; На выезде; Оформление документов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</si>
  <si>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происхождения; На выезде; Проведение мероприятий</t>
  </si>
  <si>
    <t>Оформление и выдача ветеринарных сопроводительных документов ; Стационар; Оформление документов</t>
  </si>
  <si>
    <t>Проведение ветеринарно-санитарной экспертизы сырья и продукции животного происхождения на трихинеллез; Стационар; Отбор проб</t>
  </si>
  <si>
    <t>Проведение ветеринарно-санитарной экспертизы сырья и продукции животного происхождения на трихинеллез; На выезде; Отбор проб</t>
  </si>
  <si>
    <t>Проведение учета и контроля за состоянием скотомогильников, включая сибиреязвенные; На выезде; Оформление документации</t>
  </si>
  <si>
    <t>Проведение учета и контроля за состоянием скотомогильников, включая сибиреязвенные; На выезде; Осмотр объектов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</si>
  <si>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транспортировку; На выезде; Отбор проб</t>
  </si>
  <si>
    <t>ВСЕГО в пересчете единиц измерения на "тысячу голов" норматив равен</t>
  </si>
  <si>
    <t>ВСЕГО нормативные затраты на общехозяйственные нужды</t>
  </si>
  <si>
    <t>Проведение ветеринарно-санитарной экспертизы сырья и продукции животного происхождения на трихинеллез; Стационар; Лабораторные исследования</t>
  </si>
  <si>
    <t>Наименование государственной услуги</t>
  </si>
  <si>
    <t>Отраслевой корректирующий коэффициент</t>
  </si>
  <si>
    <t>Территориальный корректирующий коэффициент</t>
  </si>
  <si>
    <t>7=4*5*6</t>
  </si>
  <si>
    <t>Количество исследований</t>
  </si>
  <si>
    <t>Республика Карелия</t>
  </si>
  <si>
    <t>Количество документов</t>
  </si>
  <si>
    <t>Количество проб</t>
  </si>
  <si>
    <t>Транспортный и земельный налоги</t>
  </si>
  <si>
    <t>Объём финансового обеспечения на уплату налога на имущество</t>
  </si>
  <si>
    <t>Количество мероприятий</t>
  </si>
  <si>
    <t>Количество объектов</t>
  </si>
  <si>
    <t>Мандейкене Е.В.</t>
  </si>
  <si>
    <t>Реклама на ТВ</t>
  </si>
  <si>
    <t>Оплата за атостоянку</t>
  </si>
  <si>
    <t>Коммунальные услуги</t>
  </si>
  <si>
    <t>Услуги связи</t>
  </si>
  <si>
    <t>Транспортные услуги</t>
  </si>
  <si>
    <t>количество услуг</t>
  </si>
  <si>
    <t>принимаемые расходы</t>
  </si>
  <si>
    <t>КОСГУ</t>
  </si>
  <si>
    <t>Всего по ВР 210</t>
  </si>
  <si>
    <t>Заработная плата</t>
  </si>
  <si>
    <t>премия</t>
  </si>
  <si>
    <t>Прочие выплаты</t>
  </si>
  <si>
    <t>суточные</t>
  </si>
  <si>
    <t>проезд в командировку</t>
  </si>
  <si>
    <t>Всего по ВР 244</t>
  </si>
  <si>
    <t>интернет</t>
  </si>
  <si>
    <t>КЭСКО (Питкяранта) (ИП Федорова)</t>
  </si>
  <si>
    <t>Связьсервис (Петрозаводск)</t>
  </si>
  <si>
    <t>Связьсервис (Кондопога)</t>
  </si>
  <si>
    <t>местные соединения</t>
  </si>
  <si>
    <t>Ростелеком</t>
  </si>
  <si>
    <t>междугородние соединения</t>
  </si>
  <si>
    <t>услуги связи</t>
  </si>
  <si>
    <t>МегаФон</t>
  </si>
  <si>
    <t>отправка корреспонденции</t>
  </si>
  <si>
    <t>услуги почтовой связи</t>
  </si>
  <si>
    <t xml:space="preserve">подвоз воды Пудож </t>
  </si>
  <si>
    <t>транспортные услуги по доставке грузов</t>
  </si>
  <si>
    <t>транспортные услуги такси (при отсутствии водителя)</t>
  </si>
  <si>
    <t>электроэнергия</t>
  </si>
  <si>
    <t>теплоэнергия</t>
  </si>
  <si>
    <t>Аренда за пользование имуществом</t>
  </si>
  <si>
    <t>Фирма А</t>
  </si>
  <si>
    <t>Работы, услуги по содержанию имущества</t>
  </si>
  <si>
    <t xml:space="preserve">техническое обслуживание системы ОПС </t>
  </si>
  <si>
    <t>Петрозаводск, Мед.гора, Кондопога, Пудож, Костомукша, Калевала, Олонец, Пряжа, Суоярви</t>
  </si>
  <si>
    <t>Русь</t>
  </si>
  <si>
    <t>Кемь</t>
  </si>
  <si>
    <t>Сириус -А</t>
  </si>
  <si>
    <t>Беломорск</t>
  </si>
  <si>
    <t>ИП Хабаров</t>
  </si>
  <si>
    <t>вывоз ТБО</t>
  </si>
  <si>
    <t>Костомукша</t>
  </si>
  <si>
    <t>Автоспецтранс ООО</t>
  </si>
  <si>
    <t>Петрозаводск</t>
  </si>
  <si>
    <t>Пудож</t>
  </si>
  <si>
    <t>Кондопога</t>
  </si>
  <si>
    <t>Лахденпохья</t>
  </si>
  <si>
    <t>Лоухи</t>
  </si>
  <si>
    <t>Медвежегорск</t>
  </si>
  <si>
    <t>Олонец</t>
  </si>
  <si>
    <t>Питкяранта</t>
  </si>
  <si>
    <t>Пряжа</t>
  </si>
  <si>
    <t>Сегежа</t>
  </si>
  <si>
    <t>Сортавала</t>
  </si>
  <si>
    <t>Суоярви</t>
  </si>
  <si>
    <t>факт за 6 мес 2018 года 92445,5</t>
  </si>
  <si>
    <t>Ремонт помещений</t>
  </si>
  <si>
    <t>заправка ремонт катриджей</t>
  </si>
  <si>
    <t>работа спец.техники (чистка снега)</t>
  </si>
  <si>
    <t>Прочие работы, услуги</t>
  </si>
  <si>
    <t>охрана</t>
  </si>
  <si>
    <t xml:space="preserve">БПЛ </t>
  </si>
  <si>
    <t>Кемьский ОВО</t>
  </si>
  <si>
    <t>ОВОД ООО ЧОП</t>
  </si>
  <si>
    <t xml:space="preserve">Кондопога </t>
  </si>
  <si>
    <t>Сортовала</t>
  </si>
  <si>
    <t>Северный легион</t>
  </si>
  <si>
    <t>программный продукт (обслуживание)</t>
  </si>
  <si>
    <t>НТПЦ Система гарант</t>
  </si>
  <si>
    <t>программный продукт (обслуживание) (1:С Бухгалтерия)</t>
  </si>
  <si>
    <t>Неосистемы (СкаСофт)</t>
  </si>
  <si>
    <t>доп.услуги</t>
  </si>
  <si>
    <t>электронная подпись</t>
  </si>
  <si>
    <t>лицензии на право пользования электронными системами</t>
  </si>
  <si>
    <t>СБиС</t>
  </si>
  <si>
    <t>проверка локальных смет, составление смет</t>
  </si>
  <si>
    <t xml:space="preserve">проведение строительной экспертизы </t>
  </si>
  <si>
    <t>расчет</t>
  </si>
  <si>
    <t>проф.осмотр персонала</t>
  </si>
  <si>
    <t>страховка "Клещ"</t>
  </si>
  <si>
    <t>Югория (2 договора)</t>
  </si>
  <si>
    <t>человек</t>
  </si>
  <si>
    <t>оценка а/м для списания</t>
  </si>
  <si>
    <t>Карелавтоэксперт</t>
  </si>
  <si>
    <t>услуги банка</t>
  </si>
  <si>
    <t>Реклама ТВ</t>
  </si>
  <si>
    <t>РА Промо</t>
  </si>
  <si>
    <t>Пользованеие конструктивными элементами здания</t>
  </si>
  <si>
    <t>Фирма-А</t>
  </si>
  <si>
    <t>Центр гигиены</t>
  </si>
  <si>
    <t>оплата за автостоянку</t>
  </si>
  <si>
    <t>ремонтные работы кассового аппарата</t>
  </si>
  <si>
    <t>Республиканский центр ККМ</t>
  </si>
  <si>
    <t>Доступ к системе AnimalFace</t>
  </si>
  <si>
    <t>ИП Капустин П.А</t>
  </si>
  <si>
    <t>Такском</t>
  </si>
  <si>
    <t>Прочие расходы</t>
  </si>
  <si>
    <t>Увеличение стоимости основных средств</t>
  </si>
  <si>
    <t>ветеринарные.препараты</t>
  </si>
  <si>
    <t>прочие материальные запасы</t>
  </si>
  <si>
    <t>зап.части для а/м, приобретение картриджей, зап.части на хоз.нужды, канц.товары, хоз.товары</t>
  </si>
  <si>
    <t>приобретение огнетушителей</t>
  </si>
  <si>
    <t>Всего по ВР 851</t>
  </si>
  <si>
    <t>налог на имущество</t>
  </si>
  <si>
    <t>земельный налог</t>
  </si>
  <si>
    <t>Всего по ВР 852</t>
  </si>
  <si>
    <t>транспортный налог</t>
  </si>
  <si>
    <t>Всего по ВР 853</t>
  </si>
  <si>
    <t>прочие сборы, пошлины, за загрянение окружающей среды</t>
  </si>
  <si>
    <t>на ГЗ</t>
  </si>
  <si>
    <t>на ПД</t>
  </si>
  <si>
    <t>проживание в командировке</t>
  </si>
  <si>
    <t>Бумага печатная</t>
  </si>
  <si>
    <t>Расходы распределяемые между ГЗ и ПД</t>
  </si>
  <si>
    <t>Расходы только на ПД</t>
  </si>
  <si>
    <t>Обслуживание, ремонт  кассовых аппаратов; Такском</t>
  </si>
  <si>
    <t>225, 226</t>
  </si>
  <si>
    <t>Ветеринарные препараты</t>
  </si>
  <si>
    <t>Медицинские средства</t>
  </si>
  <si>
    <t>Микрочипы</t>
  </si>
  <si>
    <t>ФОТ</t>
  </si>
  <si>
    <t>1 Вариант</t>
  </si>
  <si>
    <t>Услуги банка</t>
  </si>
  <si>
    <t>изготовление энергетических паспортов</t>
  </si>
  <si>
    <t>Количество ветеринарных специалистов</t>
  </si>
  <si>
    <t>Количество ветеринарных санитаров</t>
  </si>
  <si>
    <t>индивидуально</t>
  </si>
  <si>
    <t>на всех</t>
  </si>
  <si>
    <t xml:space="preserve">расходные материалы, испульзуемые при оказании гос.услуги </t>
  </si>
  <si>
    <t>кол-во</t>
  </si>
  <si>
    <t>Сумма</t>
  </si>
  <si>
    <t>Наименование  (вид материального запаса/ основного средства)</t>
  </si>
  <si>
    <t>оформление документов</t>
  </si>
  <si>
    <t>итого в часа (1 мин = 0,0166 часа)</t>
  </si>
  <si>
    <t>Вид ресурса/ КЭК</t>
  </si>
  <si>
    <t>Страхование</t>
  </si>
  <si>
    <t>Командировочные расходы</t>
  </si>
  <si>
    <t>Обучение</t>
  </si>
  <si>
    <t>Молоко</t>
  </si>
  <si>
    <t>Фактическое количество человеко-часов персонала, задействованного в процессе оказания услуги</t>
  </si>
  <si>
    <t>Годововой фонд оплаты труда персонала, занятого в выполнении государственного задания, тыс. руб.</t>
  </si>
  <si>
    <t>Стоимость одного человеко-часа, рублей</t>
  </si>
  <si>
    <t xml:space="preserve">Норма-тивные затраты </t>
  </si>
  <si>
    <t>Расчет произведен исходя из общего количества услуг</t>
  </si>
  <si>
    <t>Сабо</t>
  </si>
  <si>
    <t>однократно</t>
  </si>
  <si>
    <t>Пакет красный</t>
  </si>
  <si>
    <t>Сыворотка сапная</t>
  </si>
  <si>
    <t>Антиген сапной</t>
  </si>
  <si>
    <t>Антиген сибиреязвенный</t>
  </si>
  <si>
    <t>Сыворотка сибиреязвенная</t>
  </si>
  <si>
    <t>Набор бруцеллез</t>
  </si>
  <si>
    <t>Одноразовые наконечники</t>
  </si>
  <si>
    <t>Тест система для диагностики бруцеллеза в РИД</t>
  </si>
  <si>
    <t>Тест система для диагностики бруцеллеза в РА РСК, РДСК</t>
  </si>
  <si>
    <t>Питательные среды</t>
  </si>
  <si>
    <t>Тест система для диагностики бруцеллеза в РБП</t>
  </si>
  <si>
    <t>Натрий хлористый</t>
  </si>
  <si>
    <t>Спирт</t>
  </si>
  <si>
    <t>Маска</t>
  </si>
  <si>
    <t>ИТОГО материальные запасы</t>
  </si>
  <si>
    <t>Содержание лабораторных животных</t>
  </si>
  <si>
    <t xml:space="preserve"> 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</si>
  <si>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</si>
  <si>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Соляная кислота</t>
  </si>
  <si>
    <t>Набор ДНК вируса АЧС</t>
  </si>
  <si>
    <t>Набор РНК вируса гриппа</t>
  </si>
  <si>
    <t>Набор АЧС ИФА</t>
  </si>
  <si>
    <t>Набор ИФА бешенство</t>
  </si>
  <si>
    <t>Халат одноразовый</t>
  </si>
  <si>
    <t>Колпаки одноразовые</t>
  </si>
  <si>
    <t>Бахилы</t>
  </si>
  <si>
    <t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t>
  </si>
  <si>
    <t>Кислота соляная</t>
  </si>
  <si>
    <t>Количество услуг, ед.</t>
  </si>
  <si>
    <t>Оформление документации</t>
  </si>
  <si>
    <t>исп. Плужник Анастасия Владиславовна</t>
  </si>
  <si>
    <t>т. 74-49-80</t>
  </si>
  <si>
    <t>ИТОГО:</t>
  </si>
  <si>
    <t>РСББЖ</t>
  </si>
  <si>
    <t>РВЛ</t>
  </si>
  <si>
    <t>Базовый норматив на оказание услуги (работы), руб.</t>
  </si>
  <si>
    <t>Отбор проб</t>
  </si>
  <si>
    <t>Диагностические мероприятия (туберкулинизация, гиподерматоз)</t>
  </si>
  <si>
    <t>Вакцинация (бешенство)</t>
  </si>
  <si>
    <t>Проведение мероприятий</t>
  </si>
  <si>
    <t>Количество исследований (Единица)</t>
  </si>
  <si>
    <t>Осмотр объектов</t>
  </si>
  <si>
    <t>Перчатки смотровые</t>
  </si>
  <si>
    <t>Шприц, 10 мл</t>
  </si>
  <si>
    <t>Пробирка</t>
  </si>
  <si>
    <t>Вакцинация (сиб. Язва, эмкар, КЧС, лептоспироз, - част. Сект.)</t>
  </si>
  <si>
    <t>Пояснения</t>
  </si>
  <si>
    <t>нарезка проб, разделение на 24 среза, раскладка по стеклышкам, исследование под микроскопом</t>
  </si>
  <si>
    <t>х</t>
  </si>
  <si>
    <t>должностной оклад к отпуску</t>
  </si>
  <si>
    <t>Начисления на выплаты по оплате труда</t>
  </si>
  <si>
    <t>доплата до МРОТ</t>
  </si>
  <si>
    <t>Финансовое обеспечение государственного задания на 2020 год ГБУ РК "Республиканский центр ветеринарии и консультирования"</t>
  </si>
  <si>
    <t>702000.Р.10.0.02110001001</t>
  </si>
  <si>
    <t>749000.Р.10.0.02110002001</t>
  </si>
  <si>
    <t>749020.Р.10.0.02110011001</t>
  </si>
  <si>
    <t>702200.Р.10.0.02110004001</t>
  </si>
  <si>
    <t>749020.Р.10.0.02110005001</t>
  </si>
  <si>
    <t>749020.Р.10.0.02110007001</t>
  </si>
  <si>
    <t>702000.Р.10.0.02110009001</t>
  </si>
  <si>
    <t>702200.Р.10.0.02130001001</t>
  </si>
  <si>
    <t>Перечень услуг государственного задания ГБУ РК "РЦВК" (Центр компетенции в сфере АПК)</t>
  </si>
  <si>
    <t>часы</t>
  </si>
  <si>
    <t>итого в час (1 мин = 0,0166 часа)</t>
  </si>
  <si>
    <t>Предоставление консультационной помощи в рамках государственной аграрной политики</t>
  </si>
  <si>
    <t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</t>
  </si>
  <si>
    <t>Количество мероприятий (шт)</t>
  </si>
  <si>
    <t>4.1.5.а, в
Семинары, выставки, ярмарки, конгрессы, бизнесс-миссии, другие мероприятия</t>
  </si>
  <si>
    <t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</t>
  </si>
  <si>
    <t>4.1.5.б</t>
  </si>
  <si>
    <t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</t>
  </si>
  <si>
    <t>Количество документов (штука)</t>
  </si>
  <si>
    <t>4.1.6.б, в
так же  в части формирования необходимого пакета отчетных документов для грантополучателей</t>
  </si>
  <si>
    <t xml:space="preserve">Проведение консультаций КФХ по проведению деятельности в части содействия в организации предпринимательской деятельности в сельском хозяйстве </t>
  </si>
  <si>
    <t>Консультирование</t>
  </si>
  <si>
    <t>Количество консультаций (штуки)</t>
  </si>
  <si>
    <t>4.1.7.а + Прилож№1 п.6</t>
  </si>
  <si>
    <t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</t>
  </si>
  <si>
    <t>4.1.7.б - 100%</t>
  </si>
  <si>
    <t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</t>
  </si>
  <si>
    <t>4.1.8.б - 100%
включая разработку бизнес-плана, составление финансово-экономического обоснования планируемого к реализации проекта, оказание содействия в подготовке проектно-сметной и разрешительной документации</t>
  </si>
  <si>
    <t>Оказание устных юридических консультаций субъектов МСП и СХК</t>
  </si>
  <si>
    <t>Информационное обеспечение в рамках государственной аграрной политики</t>
  </si>
  <si>
    <t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</t>
  </si>
  <si>
    <t>Информирование</t>
  </si>
  <si>
    <t>Количество привлеченных к участию КФХ/СПоК</t>
  </si>
  <si>
    <t>4.1.11.б</t>
  </si>
  <si>
    <t>Услуги не используемые в 2019 году</t>
  </si>
  <si>
    <t>1.6.</t>
  </si>
  <si>
    <t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</si>
  <si>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4.1.7.б - 50%</t>
  </si>
  <si>
    <t>1.7.</t>
  </si>
  <si>
    <t>Оказание услуг по подготовке и оформлению документов, необходимых для регистрации, реорганизации и ликвидации предпринимательской деятельности в органах Федеральной налоговой службы для КФХ и СПоК</t>
  </si>
  <si>
    <t>4.1.8.а - 100%</t>
  </si>
  <si>
    <t>1.8.</t>
  </si>
  <si>
    <t>Оказание услуг по подготовке и оформлению документов, необходимых для регистрации, реорганизации и ликвидации предпринимательской деятельности в органах Федеральной налоговой службы для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</si>
  <si>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4.1.8.а - 50%</t>
  </si>
  <si>
    <t>1.10.</t>
  </si>
  <si>
    <t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</si>
  <si>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4.1.8.б - 50%
включая разработку бизнес-плана, составление финансово-экономического обоснования планируемого к реализации проекта, оказание содействия в подготовке проектно-сметной и разрешительной документации</t>
  </si>
  <si>
    <t>1.11.</t>
  </si>
  <si>
    <t>Оказание услуг по подготовке и оформлению документов для получения патентов и лицензий, необходимых для ведения деятельности КФХ и СПоК</t>
  </si>
  <si>
    <t>4.1.8.в - 100%
формирование патентно-лицензионной политики, патентование, разработка лицензионных договоров, определение цены лицензий и др.</t>
  </si>
  <si>
    <t>1.12.</t>
  </si>
  <si>
    <t>Оказание услуг по подготовке и оформлению документов для получения патентов и лицензий, необходимых для ведения деятельности сельскохозяйственных товаропроизводителей, которые в соответствии с ФЗ от 24.07.2007 № 209-ФЗ "О развитии малого и среднего предпринимательства в РФ" признаются микропредприятиями</t>
  </si>
  <si>
    <t>4.1.8.в - 50%
формирование патентно-лицензионной политики, патентование, разработка лицензионных договоров, определение цены лицензий и др.</t>
  </si>
  <si>
    <t>1.14.</t>
  </si>
  <si>
    <t>Содействие в размещении мобильных торговых объектов СПоК, являющимся получателями грантовой поддержки и мер государственной поддержки в соответствии с федеральным проектом</t>
  </si>
  <si>
    <t>2.2.</t>
  </si>
  <si>
    <t>Организация деловых контактов с представителями регионального бизнес-сообщества с целью выстраивания партнерских взаимоотножений с КФХ и СПоК, являющимся получателями грантовой поддержки и мер государственной поддержки в соответствии с федеральным проектом</t>
  </si>
  <si>
    <t>Мероприятие</t>
  </si>
  <si>
    <t>4.1.11.в</t>
  </si>
  <si>
    <t>2.3.</t>
  </si>
  <si>
    <t>Содействие в разработке маркетинговой стратегии и планов, рекламной компании, дизайна, разработке и продвижении бренда, организация системы сбыта продукции КФХ и СПоК, являющимся получателями грантовой поддержки и мер государственной поддержки в соответствии с федеральным проектом</t>
  </si>
  <si>
    <t>4.1.11.г
с использованием Портала Бизнес-навигатора МСП АО "Корпорация "МСП"</t>
  </si>
  <si>
    <t>2.4.</t>
  </si>
  <si>
    <t>Содействие в регистрации учетной записи (аккаунта) на торговых площадках, в том числе организованных для закупки товаров и услуг для государственных и муниципальных нужд, а так же продвижении продукции на торговых площадках КФХ и СПоК, являющимся получателями грантовой поддержки и мер государственной поддержки в соответствии с федеральным проектом</t>
  </si>
  <si>
    <t>Регистрация</t>
  </si>
  <si>
    <t>Количество зарегистрированных учетных записей (аккаунтов) - штуки</t>
  </si>
  <si>
    <t>4.1.11.д</t>
  </si>
  <si>
    <t>2.5.</t>
  </si>
  <si>
    <t>Содействие организации поставок сельскохозяйственной продукции на экспорт для КФХ и СПоК, являющимся получателями грантовой поддержки и мер государственной поддержки в соответствии с федеральным проектом</t>
  </si>
  <si>
    <t>4.1.11.е</t>
  </si>
  <si>
    <t>Заместитель начальника-руководитель центра компетенции в сфере агропромышленного комплекса, ведущий аналитик</t>
  </si>
  <si>
    <t>Количество мероприятий (Штука)</t>
  </si>
  <si>
    <t>Количество консультаций (Штука)</t>
  </si>
  <si>
    <t>Количество привлеченных к участию КФХ/СПоК (Штука)</t>
  </si>
  <si>
    <t>ЦК</t>
  </si>
  <si>
    <t>750012.Р.10.0.00110001001</t>
  </si>
  <si>
    <t>0011</t>
  </si>
  <si>
    <t>750012.Р.10.0.00100026001</t>
  </si>
  <si>
    <t>0010</t>
  </si>
  <si>
    <t>750012.Р.10.0.00100021001</t>
  </si>
  <si>
    <t>750012.Р.10.0.00100020001</t>
  </si>
  <si>
    <t>750012.Р.10.0.00100022001</t>
  </si>
  <si>
    <t>750012.Р.10.0.00100015001</t>
  </si>
  <si>
    <t>750012.Р.10.0.00100016001</t>
  </si>
  <si>
    <t>750012.Р.10.0.00100017001</t>
  </si>
  <si>
    <t>750012.Р.10.0.00110027001</t>
  </si>
  <si>
    <t>750012.Р.10.0.00110026001</t>
  </si>
  <si>
    <t>750012.Р.10.0.00110024001</t>
  </si>
  <si>
    <t>750012.Р.10.0.00110010001</t>
  </si>
  <si>
    <t>750012.Р.10.0.00110021001</t>
  </si>
  <si>
    <t>750019.Р.10.0.00110029001</t>
  </si>
  <si>
    <t>750012.Р.10.0.00110016001</t>
  </si>
  <si>
    <t xml:space="preserve">750012.Р.10.0.00110019001 </t>
  </si>
  <si>
    <t>750012.Р.10.0.01000002001</t>
  </si>
  <si>
    <t>750012.Р.10.0.00100013001</t>
  </si>
  <si>
    <t>750019.Р.10.0.00100008001</t>
  </si>
  <si>
    <t>750019.Р.10.0.00100002001</t>
  </si>
  <si>
    <t>0211</t>
  </si>
  <si>
    <t>0213</t>
  </si>
  <si>
    <t>Канцтовары, хоз.товары</t>
  </si>
  <si>
    <t>Листовка</t>
  </si>
  <si>
    <t>стоимость 1 пачки  250 руб, 500 листов</t>
  </si>
  <si>
    <t>Проживание</t>
  </si>
  <si>
    <t>ПД - 30%</t>
  </si>
  <si>
    <t>Аренда помещения</t>
  </si>
  <si>
    <t>Печать раздаточного материала</t>
  </si>
  <si>
    <t>Визитки</t>
  </si>
  <si>
    <t>Бутилированная вода</t>
  </si>
  <si>
    <t>Одноразовые стаканчики</t>
  </si>
  <si>
    <t>Расходы по проведению семинаров, совещаний, круглых столов</t>
  </si>
  <si>
    <t>Расчет базового норматива затрат на оказание услуги по коду № 750012.Р.10.0.00110001001</t>
  </si>
  <si>
    <t>Расчет базового норматива затрат на оказание услуги по коду № 750012.Р.10.0.00100026001</t>
  </si>
  <si>
    <t>Расчет прямых затрат на выполнение государственной услуги № 750012.Р.10.0.00100026001</t>
  </si>
  <si>
    <t>Расчет базового норматива затрат на оказание услуги по коду № 750012.Р.10.0.00100021001</t>
  </si>
  <si>
    <t>Расчет прямых затрат на выполнение государственной услуги № 750012.Р.10.0.00100020001</t>
  </si>
  <si>
    <t>Расчет базового норматива затрат на оказание услуги по коду № 750012.Р.10.0.00100020001</t>
  </si>
  <si>
    <t>Расчет базового норматива затрат на оказание услуги по коду № 750012.Р.10.0.00100022001</t>
  </si>
  <si>
    <t>Расчет базового норматива затрат на оказание услуги по коду № 750012.Р.10.0.00100015001</t>
  </si>
  <si>
    <t>Расчет базового норматива затрат на оказание услуги  по коду № 750012.Р.10.0.00100016001</t>
  </si>
  <si>
    <t>Расчет базового норматива затрат на оказание услуги по коду № 750012.Р.10.0.00100017001</t>
  </si>
  <si>
    <t>Расчет прямых затрат на выполнение государственной услуги № 750012.Р.10.0.00100017001</t>
  </si>
  <si>
    <t>Расчет базового норматива затрат на оказание услуги по коду № 750012.Р.10.0.00110027001</t>
  </si>
  <si>
    <t>Расчет прямых затрат на выполнение государственной услуги № 750012.Р.10.0.00110026001</t>
  </si>
  <si>
    <t>Расчет базового норматива затрат на оказание услуги по коду № 750012.Р.10.0.00110026001</t>
  </si>
  <si>
    <t>Расчет прямых затрат на выполнение государственной услуги № 750012.Р.10.0.00110024001</t>
  </si>
  <si>
    <t>Расчет базового норматива затрат на оказание услуги по коду № 750012.Р.10.0.00110024001</t>
  </si>
  <si>
    <t>Расчет прямых затрат на выполнение государственной услуги № 750012.Р.10.0.00110010001</t>
  </si>
  <si>
    <t>Расчет базового норматива затрат на оказание услуги по коду № 750012.Р.10.0.00110010001</t>
  </si>
  <si>
    <t>Расчет прямых затрат на выполнение государственной услуги № 750012.Р.10.0.00110021001</t>
  </si>
  <si>
    <t>Расчет базового норматива затрат на оказание услуги по коду № 750012.Р.10.0.00110021001</t>
  </si>
  <si>
    <t>Расчет прямых затрат на выполнение государственной услуги № 750019.Р.10.0.00110029001</t>
  </si>
  <si>
    <t>Расчет базового норматива затрат на оказание услуги по коду № 750019.Р.10.0.00110029001</t>
  </si>
  <si>
    <t>Расчет прямых затрат на выполнение государственной услуги № 750012.Р.10.0.00110016001</t>
  </si>
  <si>
    <t>Расчет базового норматива затрат на оказание услуги по коду № 750012.Р.10.0.00110016001</t>
  </si>
  <si>
    <t xml:space="preserve">Расчет прямых затрат на выполнение государственной услуги № 750012.Р.10.0.00110019001 </t>
  </si>
  <si>
    <t xml:space="preserve">Расчет базового норматива затрат на оказание услуги по коду № 750012.Р.10.0.00110019001 </t>
  </si>
  <si>
    <t>Расчет прямых затрат на выполнение государственной услуги № 750012.Р.10.0.01000002001</t>
  </si>
  <si>
    <t>Расчет базового норматива затрат на оказание услуги по коду № 750012.Р.10.0.01000002001</t>
  </si>
  <si>
    <t>Расчет прямых затрат на выполнение государственной услуги № 750012.Р.10.0.00100013001</t>
  </si>
  <si>
    <t>Расчет базового норматива затрат на оказание услуги по коду № 750012.Р.10.0.00100013001</t>
  </si>
  <si>
    <t>Расчет прямых затрат на выполнение государственной услуги № 750019.Р.10.0.00100008001</t>
  </si>
  <si>
    <t>Расчет базового норматива затрат на оказание услуги по коду № 750019.Р.10.0.00100008001</t>
  </si>
  <si>
    <t>Расчет прямых затрат на выполнение государственной услуги № 750019.Р.10.0.00100002001</t>
  </si>
  <si>
    <t>Расчет базового норматива затрат на оказание услуги по коду № 750019.Р.10.0.00100002001</t>
  </si>
  <si>
    <t>Расчет прямых затрат на выполнение государственной услуги № 702000.Р.10.0.02110001001</t>
  </si>
  <si>
    <t>Расчет базового норматива затрат  на оказание услуги по коду № 702000.Р.10.0.02110001001</t>
  </si>
  <si>
    <t>Расчет прямых затрат на выполнение государственной услуги № 749000.Р.10.0.02110002001</t>
  </si>
  <si>
    <t>Расчет базового норматива затрат  на оказание услуги по коду № 749000.Р.10.0.02110002001</t>
  </si>
  <si>
    <t>Расчет прямых затрат на выполнение государственной услуги № 749020.Р.10.0.02110011001</t>
  </si>
  <si>
    <t>Расчет базового норматива затрат  на оказание услуги по коду № 749020.Р.10.0.02110011001</t>
  </si>
  <si>
    <t>Расчет прямых затрат на выполнение государственной услуги № 702200.Р.10.0.02110004001</t>
  </si>
  <si>
    <t>Расчет базового норматива затрат  на оказание услуги по коду № 702200.Р.10.0.02110004001</t>
  </si>
  <si>
    <t>Расчет прямых затрат на выполнение государственной услуги № 749020.Р.10.0.02110005001</t>
  </si>
  <si>
    <t>Расчет базового норматива затрат  на оказание услуги по коду № 749020.Р.10.0.02110005001</t>
  </si>
  <si>
    <t>Расчет прямых затрат на выполнение государственной услуги № 749020.Р.10.0.02110007001</t>
  </si>
  <si>
    <t>Расчет базового норматива затрат  на оказание услуги по коду № 749020.Р.10.0.02110007001</t>
  </si>
  <si>
    <t>Расчет прямых затрат на выполнение государственной услуги № 702000.Р.10.0.02110009001</t>
  </si>
  <si>
    <t>Расчет базового норматива затрат  на оказание услуги по коду № 702000.Р.10.0.02110009001</t>
  </si>
  <si>
    <t>Расчет базового норматива затрат  на оказание услуги по коду № 702200.Р.10.0.02130001001</t>
  </si>
  <si>
    <t>Хлористый кальций</t>
  </si>
  <si>
    <t>КПС</t>
  </si>
  <si>
    <t>Расчетная СУММА всего по 2019 году</t>
  </si>
  <si>
    <t>распр-ие</t>
  </si>
  <si>
    <t>разница</t>
  </si>
  <si>
    <t>по ГЗ з/п</t>
  </si>
  <si>
    <t>штатное расписание на 01.08.2019 с 4,3%</t>
  </si>
  <si>
    <t>Социальные пособия и компенсации персоналу в денежной форме</t>
  </si>
  <si>
    <t>б/л, мат помощь</t>
  </si>
  <si>
    <t>Проезд к месту отдыха и обратно</t>
  </si>
  <si>
    <t>Проезд до места работы и обратно</t>
  </si>
  <si>
    <t>с отчислениями</t>
  </si>
  <si>
    <t>пособие от 1,5 до 3-х лет</t>
  </si>
  <si>
    <t>компенсация коммунальных расходов (Лукина)</t>
  </si>
  <si>
    <t>Ситилинк (Костомукша)</t>
  </si>
  <si>
    <t>РТКОММ.РУ (Видлица, Лахденпохья, Кемь, МедГора, Пудож)</t>
  </si>
  <si>
    <t>ав.отчеты</t>
  </si>
  <si>
    <t>Спец.связь РВЛ</t>
  </si>
  <si>
    <t>ФГУП ГЦСС</t>
  </si>
  <si>
    <t>Автоспецтранс ООО (16 км.)</t>
  </si>
  <si>
    <t>водоснабжение, водоотведение</t>
  </si>
  <si>
    <t>с учетом увеличения тарифа с 01.07.2020</t>
  </si>
  <si>
    <t>Правды, 38В</t>
  </si>
  <si>
    <t>Медвежьегорск</t>
  </si>
  <si>
    <t>возмещение коммунальных услуг (Петрозаводск, Лесной, 51Б)</t>
  </si>
  <si>
    <t>возмещение коммунальных услуг (Петрозаводск, Правды, 38Б)</t>
  </si>
  <si>
    <t>ИП Гилюкова</t>
  </si>
  <si>
    <t>возмещение коммунальных услуг (МедГора э/энергия)</t>
  </si>
  <si>
    <t>Гилюкова В.Н.</t>
  </si>
  <si>
    <t>Лесной проспект, 51Б</t>
  </si>
  <si>
    <t>Муезерка</t>
  </si>
  <si>
    <t>Муезерский ЛПХ</t>
  </si>
  <si>
    <t>Откачка септика в здании лаборатории (кол-во машин)</t>
  </si>
  <si>
    <t>Стафеев А.А.</t>
  </si>
  <si>
    <t>возмещение коммунальных услуг (Костомукша)</t>
  </si>
  <si>
    <t>Костомукшский городской округ МУП ЦМР МО</t>
  </si>
  <si>
    <t>возмещение коммунальных услуг (Беломорск)</t>
  </si>
  <si>
    <t>ТСЖ Южный</t>
  </si>
  <si>
    <t>промывка и опрессовка (Сортавала, Питкяранта)</t>
  </si>
  <si>
    <t>обслуживание ТО ККМ</t>
  </si>
  <si>
    <t>замена фискального накопителя</t>
  </si>
  <si>
    <t>стирка белья РВЛ</t>
  </si>
  <si>
    <t>обслуживание автоклавов - РВЛ</t>
  </si>
  <si>
    <t>гидравлические испытания автоклавов - РВЛ</t>
  </si>
  <si>
    <t>поверка оборудования РВЛ</t>
  </si>
  <si>
    <t>поверка монометров РВЛ</t>
  </si>
  <si>
    <t>калибровка или ремонт приборов РВЛ</t>
  </si>
  <si>
    <t>проверка эффективности работы микробиологич.боксов (МББ) РВЛ</t>
  </si>
  <si>
    <t>сличительные испытания РВЛ</t>
  </si>
  <si>
    <t>поверка анализатора молока</t>
  </si>
  <si>
    <t>Айтиком</t>
  </si>
  <si>
    <t>доступ к базе Кодекс-ИТ</t>
  </si>
  <si>
    <t>Кодекс-ИТ</t>
  </si>
  <si>
    <t>РЦЦ (9 мес. 2019 - 22400, факт за 2018 года 28500, факт за 2017 год  - 56300; среднее - 35700)</t>
  </si>
  <si>
    <t>курсы повышения квалификации</t>
  </si>
  <si>
    <t>ИП Потапова Н.А.</t>
  </si>
  <si>
    <t>Ленинградская МВЛ</t>
  </si>
  <si>
    <t>Договора ГПХ, ден.довольсвие (компенсации)</t>
  </si>
  <si>
    <t>ИП Сергеев</t>
  </si>
  <si>
    <t>текущие ремонты</t>
  </si>
  <si>
    <t>обслуживание онлайн кассы</t>
  </si>
  <si>
    <t>страхование имущества, оборудования РВЛ</t>
  </si>
  <si>
    <t>ОСАГО</t>
  </si>
  <si>
    <t>КАСКО</t>
  </si>
  <si>
    <t>приобретения по платной деятельности</t>
  </si>
  <si>
    <t>амартизация основных средств</t>
  </si>
  <si>
    <t>Увеличение стоимости лекарственных препаратов и материалов, применяемых в медицинских целях</t>
  </si>
  <si>
    <t>факт2018 года - 3 958 029,68 -(счет 105.В8 Д)
2019 - 5 506 704,43</t>
  </si>
  <si>
    <t>медицинские средства(препараты) используемые при оказании услуг</t>
  </si>
  <si>
    <t>факт 2019г. (на 14.10.2019 - 10 889 576,80)</t>
  </si>
  <si>
    <t>микрочипы, считыватели</t>
  </si>
  <si>
    <t>ЧипАгро, АгроТехнологии ХХI</t>
  </si>
  <si>
    <t>ЧИПАГРО</t>
  </si>
  <si>
    <t>Увеличение стоимости продуктов питания</t>
  </si>
  <si>
    <t>вода бутилированная</t>
  </si>
  <si>
    <t>северный источник</t>
  </si>
  <si>
    <t>молоко</t>
  </si>
  <si>
    <t>биолайн, Компания Тристар</t>
  </si>
  <si>
    <t>Увеличение стоимости ГСМ</t>
  </si>
  <si>
    <t>ГСМ, в том числе масла, смазки, газ, диз.топливо</t>
  </si>
  <si>
    <t>факт 2017 года 1 079 753,11; факт за 6 мес 2018 - 680 432,32; 9 мес. 2019г. 1 633 929,23</t>
  </si>
  <si>
    <t>Увеличение стоимости мягкого инвентаря</t>
  </si>
  <si>
    <t>мед.халаты</t>
  </si>
  <si>
    <t>факт 2019г. - 5236</t>
  </si>
  <si>
    <t>Спец.одежда: водители, электрик, подсоб.рабочий, санитар-водитель</t>
  </si>
  <si>
    <t>Мягкий инвентарь с РВЛ</t>
  </si>
  <si>
    <t>Увеличение стоимости прочих материальных запасов</t>
  </si>
  <si>
    <t>комбикорм свиной</t>
  </si>
  <si>
    <t>Агросфера (факт 2019 - 27 350)</t>
  </si>
  <si>
    <t>овощи</t>
  </si>
  <si>
    <t>Биолайн, РузФрукт</t>
  </si>
  <si>
    <t>опилки</t>
  </si>
  <si>
    <t>ав/отч.</t>
  </si>
  <si>
    <t>запчасти для а/м</t>
  </si>
  <si>
    <t>катриджи, зап.части для ЭВМ</t>
  </si>
  <si>
    <t>канц.товары</t>
  </si>
  <si>
    <t>хоз.товары + строй мат. (эл.мат.и пр.)</t>
  </si>
  <si>
    <t>Дрова:</t>
  </si>
  <si>
    <t>м3</t>
  </si>
  <si>
    <t xml:space="preserve">Калевала </t>
  </si>
  <si>
    <t>ИП Кураш Г.Б. (факт 2018 - 22 500)</t>
  </si>
  <si>
    <t xml:space="preserve">Пряжа </t>
  </si>
  <si>
    <t>Март ООО (факт 2018 - 26 800)</t>
  </si>
  <si>
    <t xml:space="preserve">Лоухи </t>
  </si>
  <si>
    <t>Элиас ООО (факт 2018 - 34 592)</t>
  </si>
  <si>
    <t>в 2019 году куплено 5 огнетушителей</t>
  </si>
  <si>
    <t>Корма, вет.препараты для аптеки</t>
  </si>
  <si>
    <t>Реактивы, реагенты</t>
  </si>
  <si>
    <t>общ</t>
  </si>
  <si>
    <t>без ЦК</t>
  </si>
  <si>
    <t>Зайцева О.Ю.</t>
  </si>
  <si>
    <t>Объём финансового обеспечения на содержание не используемого для выполнения государственного задания имущества</t>
  </si>
  <si>
    <t>Финансовое обеспечение выполнения государственного задания, руб.
(гр.10 + гр.11+гр.12)</t>
  </si>
  <si>
    <t>Количество голов/тыс.голов</t>
  </si>
  <si>
    <t>Количество консультаций</t>
  </si>
  <si>
    <t>Количество услуг без тыс.шт.</t>
  </si>
  <si>
    <t>Холодное водоснабжение, водоотведение</t>
  </si>
  <si>
    <t>Отправка корреспонденции (спец.связь)</t>
  </si>
  <si>
    <t>Оплата разовых транспортных услуг (перевозка грузов, подвоз воды, такси - Кондопога)</t>
  </si>
  <si>
    <t>Отдел отраслевой аналитики агропромышленного комплекса</t>
  </si>
  <si>
    <t>снять ФОТ по ГЗ</t>
  </si>
  <si>
    <t>Содержание и ТО общего имущества (септик РВЛ, промывка, опресовка Сортавала и Питкяранта)</t>
  </si>
  <si>
    <t>Предрейсовый осмотр а/м и водителей</t>
  </si>
  <si>
    <t>Страхование имущества, оборудования</t>
  </si>
  <si>
    <t>Страхование работников (клещ)</t>
  </si>
  <si>
    <t>Страхование а/м (ОСАГО, КАСКО)</t>
  </si>
  <si>
    <t>Стирка белья</t>
  </si>
  <si>
    <t>Обслуживание комьютерной техники</t>
  </si>
  <si>
    <t>Прочие выплаты (проезд к месту отдыха и обрано)</t>
  </si>
  <si>
    <t>Прочие выплаты (Пособие от 1,5 до 3-х лет, проезд до места работы и обрано, расходы по командировкам)</t>
  </si>
  <si>
    <t>212, 214, 226, 267</t>
  </si>
  <si>
    <t>Поверка, калибровка, сличительные испытания оборудования</t>
  </si>
  <si>
    <t>Дрова (Калевала, Пряжа, Лоухи)</t>
  </si>
  <si>
    <t>Корм для животных</t>
  </si>
  <si>
    <t>Медицинские периодические осмотры</t>
  </si>
  <si>
    <t>Прочие налоги и сборы</t>
  </si>
  <si>
    <t>290, 291</t>
  </si>
  <si>
    <t>Кол-во</t>
  </si>
  <si>
    <t>Счет</t>
  </si>
  <si>
    <t>Отдел противоэпизоотических мероприятий</t>
  </si>
  <si>
    <t>кол-во чел.</t>
  </si>
  <si>
    <t>МРОТ</t>
  </si>
  <si>
    <t>ШР с учетом индексации 4,3% на 01.10.2019</t>
  </si>
  <si>
    <t>из них муж.</t>
  </si>
  <si>
    <t>Вет.станция ПТЗ</t>
  </si>
  <si>
    <t>МедГора</t>
  </si>
  <si>
    <t>Костомушка</t>
  </si>
  <si>
    <t>Калевала</t>
  </si>
  <si>
    <t>ОЛиЭМ</t>
  </si>
  <si>
    <t>ХМО</t>
  </si>
  <si>
    <t>БО</t>
  </si>
  <si>
    <t>СО</t>
  </si>
  <si>
    <t>Лаборанты</t>
  </si>
  <si>
    <t>В соответствии со значением натуральных норм. Производственный календарь 2019 года: при 40 часовой рабочей неделе - 1970 часов, при 36 часовой рабочей неделе - 1772,4 часов. Основной персонал 28 человека (вет врачи и фельдшеры).   (28*1772,4)=49627,2. Время на выполнение гос. задания=32258(65%) часа. 32258/63804=0,51 часа на одну услугу
Определяется исходя из годового фонда оплаты труда и годового фонда рабочего времени 10393,75/32258=322,21</t>
  </si>
  <si>
    <t>40-ч.неделя</t>
  </si>
  <si>
    <t>36-ч.неделя</t>
  </si>
  <si>
    <t>муж.</t>
  </si>
  <si>
    <t>жен.</t>
  </si>
  <si>
    <t>В соответствии со значением натуральных норм. Производственный календарь 2019 года: при 40 часовой рабочей неделе - 1970 часов, при 36 часовой рабочей неделе - 1772,4 часов. Основной персонал 84 человека (Начальник отдела, начальник станции, начальник ветеринарного участка, заведующий ветеринарным пунктом, главный ветеринарный врач, ведущий ветеринарный врач, ветеринарный врач, ветеринарный фельдшер).   (84 ставки Х 1772,4)=148 881,6.
Определяется исходя из годового фонда оплаты труда и годового фонда рабочего времени -  33499,24 / 148881,6  =225,01</t>
  </si>
  <si>
    <t>Определение нормы времени на оказание государственных услуг на 2020 год</t>
  </si>
  <si>
    <t>станция - хозяйства
РВЛ - охотники</t>
  </si>
  <si>
    <t>Стоимость 1 часа</t>
  </si>
  <si>
    <t>Печатная продукция ЦК</t>
  </si>
  <si>
    <t>Затраты на приобретение основных средств и мат.запасов ЦК</t>
  </si>
  <si>
    <t>Канцтовары, хоз.товары ЦК</t>
  </si>
  <si>
    <t>оклад к отпуску</t>
  </si>
  <si>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</si>
  <si>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</t>
  </si>
  <si>
    <t>Параметры:</t>
  </si>
  <si>
    <t>Дата отчета: 01.10.2019</t>
  </si>
  <si>
    <t>Счет: 101.10 Основные средства – недвижимое имущество учреждения</t>
  </si>
  <si>
    <t>Балансовая стоимость</t>
  </si>
  <si>
    <t>Сумма амортизации</t>
  </si>
  <si>
    <t>Остаточная стоимость</t>
  </si>
  <si>
    <t>Сумма амортизации в месяц</t>
  </si>
  <si>
    <t>КФО</t>
  </si>
  <si>
    <t>МОЛ</t>
  </si>
  <si>
    <t>Подразделение</t>
  </si>
  <si>
    <t>ОС</t>
  </si>
  <si>
    <t>Инвентарный номер</t>
  </si>
  <si>
    <t>ОКОФ</t>
  </si>
  <si>
    <t>Амортизационная группа</t>
  </si>
  <si>
    <t>Способ начисления амортизации</t>
  </si>
  <si>
    <t>Дата принятия к учету</t>
  </si>
  <si>
    <t>Состояние</t>
  </si>
  <si>
    <t>Мес. норма %</t>
  </si>
  <si>
    <t>Срок полезного использо вания (мес.)</t>
  </si>
  <si>
    <t>Процент износа</t>
  </si>
  <si>
    <t>Сумма амортизации в квартал</t>
  </si>
  <si>
    <t>Остаточная стоимость на 01.01.2020</t>
  </si>
  <si>
    <t>Налог на им-во за 4 кв.</t>
  </si>
  <si>
    <t>Остаточная стоимость на 01.03.2020</t>
  </si>
  <si>
    <t>Налог на им-во за 1 кв.</t>
  </si>
  <si>
    <t>Остаточная стоимость на 01.06.2020</t>
  </si>
  <si>
    <t>Налог на им-во за 2 кв.</t>
  </si>
  <si>
    <t>Остаточная стоимость на 01.09.2020</t>
  </si>
  <si>
    <t>Налог на им-во за 3 кв.</t>
  </si>
  <si>
    <t>Остаточная стоимость на 01.01.2021</t>
  </si>
  <si>
    <t>101.12 "Нежилые помещения (здания и сооружения) – недвижимое имущество учреждения"</t>
  </si>
  <si>
    <t>4 (Субсидии на выполнение государственного (муниципального) задания)</t>
  </si>
  <si>
    <t>04050000000000244</t>
  </si>
  <si>
    <t>Батян Надежда Анатольевна</t>
  </si>
  <si>
    <t>Пряжинский ветеринарный участок</t>
  </si>
  <si>
    <t>Здание станции ветлечебницы</t>
  </si>
  <si>
    <t>ПЖ01010001</t>
  </si>
  <si>
    <t>11 0001120</t>
  </si>
  <si>
    <t>Линейный</t>
  </si>
  <si>
    <t>17.05.2007</t>
  </si>
  <si>
    <t>Введено в эксплуатацию</t>
  </si>
  <si>
    <t>САРАЙ П.ПРЯЖА</t>
  </si>
  <si>
    <t>ПЖ01010002</t>
  </si>
  <si>
    <t>11 0001110</t>
  </si>
  <si>
    <t>Сарай для дров п.Пряжа</t>
  </si>
  <si>
    <t>ПЖ01010003</t>
  </si>
  <si>
    <t>ГАРАЖ П.ПРЯЖА</t>
  </si>
  <si>
    <t>ПЖ01010004</t>
  </si>
  <si>
    <t>11 0001130</t>
  </si>
  <si>
    <t>Ведлозерская лечебница</t>
  </si>
  <si>
    <t>ПЖ01010006</t>
  </si>
  <si>
    <t>Бахур Марина Ивановна</t>
  </si>
  <si>
    <t>Кемский ветеринарный участок</t>
  </si>
  <si>
    <t>Здание</t>
  </si>
  <si>
    <t>КЕ10101</t>
  </si>
  <si>
    <t>01.01.2000</t>
  </si>
  <si>
    <t>Гришина Ольга Владимировна</t>
  </si>
  <si>
    <t>Пудожский ветеринарный пункт</t>
  </si>
  <si>
    <t>гараж</t>
  </si>
  <si>
    <t>ПУВА00000022</t>
  </si>
  <si>
    <t>11 4526030</t>
  </si>
  <si>
    <t>01.07.2008</t>
  </si>
  <si>
    <t>здание РС ББЖ</t>
  </si>
  <si>
    <t>ПУВА00000121</t>
  </si>
  <si>
    <t>11 4528223</t>
  </si>
  <si>
    <t>Догонина Нина Дмитриевна</t>
  </si>
  <si>
    <t>Сегежская ветеринарная станция</t>
  </si>
  <si>
    <t>Гараж дощатый</t>
  </si>
  <si>
    <t>01010003</t>
  </si>
  <si>
    <t>20.12.1971</t>
  </si>
  <si>
    <t>Здание административное</t>
  </si>
  <si>
    <t>01010002</t>
  </si>
  <si>
    <t>30.10.1978</t>
  </si>
  <si>
    <t>Здание амбулаторное</t>
  </si>
  <si>
    <t>01010001</t>
  </si>
  <si>
    <t>30.11.1971</t>
  </si>
  <si>
    <t>Сарай дровянной</t>
  </si>
  <si>
    <t>01010004</t>
  </si>
  <si>
    <t>100 % при вводе в эксплуатацию</t>
  </si>
  <si>
    <t>30.09.1987</t>
  </si>
  <si>
    <t>Еремина Галина Юзефовна</t>
  </si>
  <si>
    <t>Медвежьегорский ветеринарный участок</t>
  </si>
  <si>
    <t>Здание лечебницы</t>
  </si>
  <si>
    <t>МЕ0211000128</t>
  </si>
  <si>
    <t>11 0001190</t>
  </si>
  <si>
    <t>07.08.2007</t>
  </si>
  <si>
    <t>Зайцева Оксана Юрьевна</t>
  </si>
  <si>
    <t>Здание районной ветеринарной станции (часть здания) в г. Олонец</t>
  </si>
  <si>
    <t>1010004</t>
  </si>
  <si>
    <t>09.01.2013</t>
  </si>
  <si>
    <t>Зюзикова Оксана Николаевна</t>
  </si>
  <si>
    <t>Кондопожская ветеринарная станция</t>
  </si>
  <si>
    <t>Здание вет.станции по адресу г.Кондопога,ул.Приканальная,д.5</t>
  </si>
  <si>
    <t>КН015411000001</t>
  </si>
  <si>
    <t>11 4529010</t>
  </si>
  <si>
    <t>10.07.2008</t>
  </si>
  <si>
    <t>Гараж автомобильный</t>
  </si>
  <si>
    <t>КН015411000002</t>
  </si>
  <si>
    <t>Исакова Нина Петровна</t>
  </si>
  <si>
    <t>Лоухский ветеринарный пункт</t>
  </si>
  <si>
    <t>Здание ветучастка</t>
  </si>
  <si>
    <t>ЛО000000000000000001</t>
  </si>
  <si>
    <t>15.08.1947</t>
  </si>
  <si>
    <t>Здание ветстанции</t>
  </si>
  <si>
    <t>ЛО000000000000000003</t>
  </si>
  <si>
    <t>Сарай-гараж</t>
  </si>
  <si>
    <t>ЛО000000000000000004</t>
  </si>
  <si>
    <t>14.01.1977</t>
  </si>
  <si>
    <t>Карачева Светлана Викторовна</t>
  </si>
  <si>
    <t>Сортавальский ветеринарный участок</t>
  </si>
  <si>
    <t>Здание служебное</t>
  </si>
  <si>
    <t>СОВА00000136</t>
  </si>
  <si>
    <t>Здание гараж</t>
  </si>
  <si>
    <t>СОВА00000137</t>
  </si>
  <si>
    <t>Мурая Елена Владимировна</t>
  </si>
  <si>
    <t>Олонецкая ветеринарная станция</t>
  </si>
  <si>
    <t>Здание Видлицкого вет.участка</t>
  </si>
  <si>
    <t>ОЛ10101</t>
  </si>
  <si>
    <t>01.06.2007</t>
  </si>
  <si>
    <t>Здание районной вет. станции</t>
  </si>
  <si>
    <t>ОЛ10104</t>
  </si>
  <si>
    <t>26.10.2012</t>
  </si>
  <si>
    <t>Принято к учету</t>
  </si>
  <si>
    <t>Блок-гараж</t>
  </si>
  <si>
    <t>ОЛ10105</t>
  </si>
  <si>
    <t>25.02.2010</t>
  </si>
  <si>
    <t>Ренго Елена Вячеславовна</t>
  </si>
  <si>
    <t>Лахденпохская ветеринарная станция</t>
  </si>
  <si>
    <t>ЛХ01010001</t>
  </si>
  <si>
    <t>Сарай Ветстанции</t>
  </si>
  <si>
    <t>ЛХ01010002</t>
  </si>
  <si>
    <t>Гараж на 5 а/м</t>
  </si>
  <si>
    <t>ЛХ01010004</t>
  </si>
  <si>
    <t>Виварий</t>
  </si>
  <si>
    <t>ЛХ01010005</t>
  </si>
  <si>
    <t>Рожков Алексей Павлович</t>
  </si>
  <si>
    <t>Нежилое помещение в здании ремонтно-механических мастерских</t>
  </si>
  <si>
    <t>10112201700001</t>
  </si>
  <si>
    <t>210.00.11.10.410</t>
  </si>
  <si>
    <t>05.09.2017</t>
  </si>
  <si>
    <t>Водоём пожарный</t>
  </si>
  <si>
    <t>РВВА00000602</t>
  </si>
  <si>
    <t>12 0001090</t>
  </si>
  <si>
    <t>01.03.2012</t>
  </si>
  <si>
    <t>Сооружения канализационные с санотстойниками</t>
  </si>
  <si>
    <t>РВВА00000603</t>
  </si>
  <si>
    <t>ПЕВА00000057</t>
  </si>
  <si>
    <t>29.03.2012</t>
  </si>
  <si>
    <t>Помещение</t>
  </si>
  <si>
    <t>ПЕВА00000058</t>
  </si>
  <si>
    <t>Дороги и проезды</t>
  </si>
  <si>
    <t>ПЕВА00000059</t>
  </si>
  <si>
    <t>Пожарный резервуар</t>
  </si>
  <si>
    <t>ПЕВА00000060</t>
  </si>
  <si>
    <t>Благоустройство территории</t>
  </si>
  <si>
    <t>ПЕВА00000061</t>
  </si>
  <si>
    <t>Наружные сети радио</t>
  </si>
  <si>
    <t>ПЕВА00000062</t>
  </si>
  <si>
    <t>Теплотрасса</t>
  </si>
  <si>
    <t>ПЕВА00000063</t>
  </si>
  <si>
    <t>Водопроводная сеть</t>
  </si>
  <si>
    <t>ПЕВА00000064</t>
  </si>
  <si>
    <t>канализационная сеть</t>
  </si>
  <si>
    <t>ПЕВА00000065</t>
  </si>
  <si>
    <t>наружные сети связи</t>
  </si>
  <si>
    <t>ПЕВА00000066</t>
  </si>
  <si>
    <t>Корпус вспомогательный здания лаборатории</t>
  </si>
  <si>
    <t>РВ0000000000003</t>
  </si>
  <si>
    <t>11 0001010</t>
  </si>
  <si>
    <t>Гараж для автомашин (Шуйское шоссе, 26)</t>
  </si>
  <si>
    <t>РВ0000000000002</t>
  </si>
  <si>
    <t>Забор (сетка металлическая)</t>
  </si>
  <si>
    <t>РВ0000000000004</t>
  </si>
  <si>
    <t>220.42.99.19</t>
  </si>
  <si>
    <t>Здание лаборатории (Шуйское шоссе, 26)</t>
  </si>
  <si>
    <t>РВ0000000000001</t>
  </si>
  <si>
    <t>КТП с трансформатором</t>
  </si>
  <si>
    <t>РВ0000000000006</t>
  </si>
  <si>
    <t>14 3190020</t>
  </si>
  <si>
    <t>Проезд (асфальт вокруг территории)</t>
  </si>
  <si>
    <t>РВ0000000000005</t>
  </si>
  <si>
    <t>12 0001121</t>
  </si>
  <si>
    <t>Сёмкин Юрий Алексеевич</t>
  </si>
  <si>
    <t>Калевальский ветеринарный пункт</t>
  </si>
  <si>
    <t>нежилое помещение на 1-м этаже, S 118кв.м.</t>
  </si>
  <si>
    <t>КА0000045</t>
  </si>
  <si>
    <t>16.12.2010</t>
  </si>
  <si>
    <t>Суслова Валентина Михайловна</t>
  </si>
  <si>
    <t>Суоярвский ветеринарный пункт</t>
  </si>
  <si>
    <t>Гараж</t>
  </si>
  <si>
    <t>СУ11006</t>
  </si>
  <si>
    <t>28.09.2011</t>
  </si>
  <si>
    <t>Нежилое помещение</t>
  </si>
  <si>
    <t>СУ2.101.04.2.8</t>
  </si>
  <si>
    <t>01.06.2012</t>
  </si>
  <si>
    <t>Федосеева Юлия Вениаминовна</t>
  </si>
  <si>
    <t>Костомукшская ветеринарная станция</t>
  </si>
  <si>
    <t>КОВА00000023</t>
  </si>
  <si>
    <t>02.07.2011</t>
  </si>
  <si>
    <t>Нежилое помещение 66,7 кв.м.</t>
  </si>
  <si>
    <t>КОВА00000049</t>
  </si>
  <si>
    <t>01.10.2015</t>
  </si>
  <si>
    <t>Хорзов Сергей Александрович</t>
  </si>
  <si>
    <t>Питкярантский ветеринарный участок</t>
  </si>
  <si>
    <t>Здание с гаражами</t>
  </si>
  <si>
    <t>ПИ0000000227</t>
  </si>
  <si>
    <t>Итого</t>
  </si>
  <si>
    <t>санитары</t>
  </si>
  <si>
    <t>Цена единицы  ресурса, руб.</t>
  </si>
  <si>
    <t>Халат медицинский</t>
  </si>
  <si>
    <t>Костюм медицинский (пижама хирургическая)</t>
  </si>
  <si>
    <t>Спец.обувь (сабо)</t>
  </si>
  <si>
    <t>Колпак медицинский</t>
  </si>
  <si>
    <t>Всего</t>
  </si>
  <si>
    <t>Шприц, 2 мл</t>
  </si>
  <si>
    <t>Шприц, 5 мл</t>
  </si>
  <si>
    <t>Компрессоры</t>
  </si>
  <si>
    <t>"Сейф-пакет" (одноразовый пакет)</t>
  </si>
  <si>
    <t>Лабораторные специалисты</t>
  </si>
  <si>
    <t>№16</t>
  </si>
  <si>
    <t>№17</t>
  </si>
  <si>
    <t>№18</t>
  </si>
  <si>
    <t>№19</t>
  </si>
  <si>
    <t>№20</t>
  </si>
  <si>
    <t>Спец.обувь (сапоги резиновые с защитным подноском)</t>
  </si>
  <si>
    <t>только ветеринары</t>
  </si>
  <si>
    <t>только лаб.спец.</t>
  </si>
  <si>
    <t>проверка</t>
  </si>
  <si>
    <t>Унифицированная форма № Т-3</t>
  </si>
  <si>
    <t>Утверждена Постановлением Госкомстата России</t>
  </si>
  <si>
    <t>от 05.01.2004 № 1</t>
  </si>
  <si>
    <t>Код</t>
  </si>
  <si>
    <t xml:space="preserve">  </t>
  </si>
  <si>
    <t>Форма по ОКУД</t>
  </si>
  <si>
    <t>0301017</t>
  </si>
  <si>
    <t>Государственное бюджетное учреждение Республики Карелия "Республиканский центр ветеринарии и консультирования"</t>
  </si>
  <si>
    <t>по ОКПО</t>
  </si>
  <si>
    <t>(наименование организации)</t>
  </si>
  <si>
    <t>Номер документа</t>
  </si>
  <si>
    <t>Дата составления</t>
  </si>
  <si>
    <t>ШТАТНОЕ  РАСПИСАНИЕ</t>
  </si>
  <si>
    <t>УТВЕРЖДЕНО</t>
  </si>
  <si>
    <r>
      <t>Приказом по организации от</t>
    </r>
    <r>
      <rPr>
        <u/>
        <sz val="11"/>
        <rFont val="Calibri"/>
        <family val="2"/>
        <charset val="204"/>
        <scheme val="minor"/>
      </rPr>
      <t xml:space="preserve"> "31</t>
    </r>
    <r>
      <rPr>
        <u/>
        <sz val="11"/>
        <rFont val="Calibri"/>
        <family val="2"/>
        <charset val="204"/>
      </rPr>
      <t>" июля 2019 г.</t>
    </r>
    <r>
      <rPr>
        <sz val="11"/>
        <rFont val="Calibri"/>
        <family val="2"/>
        <charset val="204"/>
      </rPr>
      <t xml:space="preserve"> № ______</t>
    </r>
  </si>
  <si>
    <r>
      <t xml:space="preserve">на период с </t>
    </r>
    <r>
      <rPr>
        <u/>
        <sz val="12"/>
        <rFont val="Calibri"/>
        <family val="2"/>
        <charset val="204"/>
        <scheme val="minor"/>
      </rPr>
      <t>"01" августа 2019 года</t>
    </r>
  </si>
  <si>
    <r>
      <t xml:space="preserve">Штат в количестве </t>
    </r>
    <r>
      <rPr>
        <u/>
        <sz val="11"/>
        <rFont val="Calibri"/>
        <family val="2"/>
        <charset val="204"/>
        <scheme val="minor"/>
      </rPr>
      <t>183</t>
    </r>
    <r>
      <rPr>
        <sz val="11"/>
        <rFont val="Calibri"/>
        <family val="2"/>
        <charset val="204"/>
        <scheme val="minor"/>
      </rPr>
      <t xml:space="preserve"> единиц</t>
    </r>
  </si>
  <si>
    <t>Структурное подразделение</t>
  </si>
  <si>
    <t>Должность (специальность, профессия), разряд, класс (категория) квалификация</t>
  </si>
  <si>
    <t>Кол-во штатных единиц</t>
  </si>
  <si>
    <t>ПКГ</t>
  </si>
  <si>
    <t>Оклад</t>
  </si>
  <si>
    <t>оклад с увеличением от 01.10.2019</t>
  </si>
  <si>
    <t>Выплаты стимулирующего характера</t>
  </si>
  <si>
    <t>Выплаты компенсационного характера</t>
  </si>
  <si>
    <t>Премия с район. и север.коэф-м</t>
  </si>
  <si>
    <t>На руки с премией</t>
  </si>
  <si>
    <t>ФИО</t>
  </si>
  <si>
    <t>1,65</t>
  </si>
  <si>
    <t>Кондопога, Лахденпохья, Олонец, Питкяранта, Пряжа, Сортавала, Суоярви</t>
  </si>
  <si>
    <t>Повышающий коэффициент по занимаемой должности</t>
  </si>
  <si>
    <t xml:space="preserve">Персональный повышающий коэффициент </t>
  </si>
  <si>
    <t>За выслугу лет</t>
  </si>
  <si>
    <t>Доплата за вредность</t>
  </si>
  <si>
    <t>Районный коэффициент</t>
  </si>
  <si>
    <t>Северная надбавка</t>
  </si>
  <si>
    <t>1,8</t>
  </si>
  <si>
    <t>МедГора, Муезерка, Пудож, Сегежа</t>
  </si>
  <si>
    <t>Наименование</t>
  </si>
  <si>
    <t>k</t>
  </si>
  <si>
    <t>сумма</t>
  </si>
  <si>
    <t>%</t>
  </si>
  <si>
    <t>Беломорск, Калевала, Кемь, Костомукша, Лоухи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</si>
  <si>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</si>
  <si>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</si>
  <si>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</si>
  <si>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</si>
  <si>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</si>
  <si>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</si>
  <si>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</si>
  <si>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</si>
  <si>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</si>
  <si>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</si>
  <si>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</si>
  <si>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</si>
  <si>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</si>
  <si>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</si>
  <si>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</si>
  <si>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</si>
  <si>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</si>
  <si>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</si>
  <si>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</si>
  <si>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</si>
  <si>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</t>
  </si>
  <si>
    <t>Заместитель начальника</t>
  </si>
  <si>
    <t>Михайлов Д.Б.</t>
  </si>
  <si>
    <t>Заместитель начальника-руководитель центра компитенции в сфере агропромышленного комплекса</t>
  </si>
  <si>
    <t>Гавриленко Т.В.</t>
  </si>
  <si>
    <t>Заместитель начальника по лабораторной работе-руководитель испытательной лаборатории</t>
  </si>
  <si>
    <t>Ялынская Е.Е.</t>
  </si>
  <si>
    <t>Административно-хозяйственный отдел</t>
  </si>
  <si>
    <t>Начальник отдела</t>
  </si>
  <si>
    <t>2/5</t>
  </si>
  <si>
    <t>всп</t>
  </si>
  <si>
    <t>Рожков А.П.</t>
  </si>
  <si>
    <t>Заведующий хозяйством</t>
  </si>
  <si>
    <t>2/2</t>
  </si>
  <si>
    <t>Балаганская Т.А.</t>
  </si>
  <si>
    <t>Заведующий складом</t>
  </si>
  <si>
    <t>Переверзева О.С.</t>
  </si>
  <si>
    <t>Специалист по учету медикаментов</t>
  </si>
  <si>
    <t>1/1</t>
  </si>
  <si>
    <t>Попок М.А.</t>
  </si>
  <si>
    <t>Подсобный рабочий</t>
  </si>
  <si>
    <t>проч</t>
  </si>
  <si>
    <t>Панин</t>
  </si>
  <si>
    <t>Санитар ветеринарный</t>
  </si>
  <si>
    <t>Рассохина М.А.</t>
  </si>
  <si>
    <t>Филатова Е.Ю.</t>
  </si>
  <si>
    <t>Белянина Н.В.</t>
  </si>
  <si>
    <t>Карликова И.Ф.</t>
  </si>
  <si>
    <t>Молодушева Н.А.</t>
  </si>
  <si>
    <t>Электрик</t>
  </si>
  <si>
    <t>Центр компетенции в сфере агропромышленного комплекса</t>
  </si>
  <si>
    <t>Ведущий аналитик</t>
  </si>
  <si>
    <t>3/4</t>
  </si>
  <si>
    <t>Афанасьева О.Р.</t>
  </si>
  <si>
    <t>4/1</t>
  </si>
  <si>
    <t>Ведущий экономист</t>
  </si>
  <si>
    <t>Сединкина Е.А.</t>
  </si>
  <si>
    <t xml:space="preserve">Чернышов </t>
  </si>
  <si>
    <t>Документовед 1 категории</t>
  </si>
  <si>
    <t>3/3</t>
  </si>
  <si>
    <t>Вуколова И.Ю.</t>
  </si>
  <si>
    <t>Монова Л.В.</t>
  </si>
  <si>
    <t>Отдел транспортного обеспечения</t>
  </si>
  <si>
    <t>СевостьяновА.В.</t>
  </si>
  <si>
    <t>Водитель автомобиля</t>
  </si>
  <si>
    <t>2/1</t>
  </si>
  <si>
    <t>Семёнов В.С.</t>
  </si>
  <si>
    <t>Петроз.</t>
  </si>
  <si>
    <t>Семенов А.Г.</t>
  </si>
  <si>
    <t>Семенов Ю.Г.</t>
  </si>
  <si>
    <t>Рюкшиев И.С.</t>
  </si>
  <si>
    <t>Пашков А.В.</t>
  </si>
  <si>
    <t>Лахден.</t>
  </si>
  <si>
    <t>Зыков Н.С.</t>
  </si>
  <si>
    <t>Уколенко Н.И.</t>
  </si>
  <si>
    <t>Медгола</t>
  </si>
  <si>
    <t>Маслович</t>
  </si>
  <si>
    <t>Питкяр.</t>
  </si>
  <si>
    <t>Туоминен К.О.</t>
  </si>
  <si>
    <t>Кузнецов О.Н.</t>
  </si>
  <si>
    <t>Турков В.Н.</t>
  </si>
  <si>
    <t>Беломор.</t>
  </si>
  <si>
    <t>Кевра А.Б.</t>
  </si>
  <si>
    <t>Медведев</t>
  </si>
  <si>
    <t>Кононов Т.М.</t>
  </si>
  <si>
    <t>Горшков Г.А.</t>
  </si>
  <si>
    <t>2/4</t>
  </si>
  <si>
    <t>Морозов</t>
  </si>
  <si>
    <t>Выжимов В.Г.</t>
  </si>
  <si>
    <t>Планово-финансовый отдел (ПФО)</t>
  </si>
  <si>
    <t>Начальник ПФО- главный бухгалтер</t>
  </si>
  <si>
    <t>Заместитель главного бухгалтера</t>
  </si>
  <si>
    <t>3/5</t>
  </si>
  <si>
    <t>Овчинникова Л.В.</t>
  </si>
  <si>
    <t>Экономист 2 категории</t>
  </si>
  <si>
    <t>3/2</t>
  </si>
  <si>
    <t>Плужник А.В.</t>
  </si>
  <si>
    <t>Ведущий бухгалтер</t>
  </si>
  <si>
    <t>Максимова Е.В.</t>
  </si>
  <si>
    <t>Гоменюк И.В.</t>
  </si>
  <si>
    <t>Бухгалтер 1 категории</t>
  </si>
  <si>
    <t>Суокас В.В./Голямина В.</t>
  </si>
  <si>
    <t>Диберт М.Ю.</t>
  </si>
  <si>
    <t>Кузьминых И.Г.</t>
  </si>
  <si>
    <t>Отдел правовой и кадровой работы</t>
  </si>
  <si>
    <t>Фарутин А.А.</t>
  </si>
  <si>
    <t>Инспектор по кадрам</t>
  </si>
  <si>
    <t>Шеленкова Е.В.</t>
  </si>
  <si>
    <t>Трофимова Е./ Кучеренкова Л.Н.</t>
  </si>
  <si>
    <t>Ведущий специалист</t>
  </si>
  <si>
    <t>Петровская М.А.</t>
  </si>
  <si>
    <t>Секретарь</t>
  </si>
  <si>
    <t>Деликатная Н.А.</t>
  </si>
  <si>
    <t>Контрактный управляющий, cпециалист по договорной работе</t>
  </si>
  <si>
    <t>Антипина И.Н.</t>
  </si>
  <si>
    <t>осн</t>
  </si>
  <si>
    <t>Сытникова Н.И.</t>
  </si>
  <si>
    <t>Савицкий В.В.</t>
  </si>
  <si>
    <t>Ветеринарный врач</t>
  </si>
  <si>
    <t>Хуртин С.И.</t>
  </si>
  <si>
    <t>Санитар-водитель</t>
  </si>
  <si>
    <t>Цветинский</t>
  </si>
  <si>
    <t>Специалист по охране труда</t>
  </si>
  <si>
    <t>3/1</t>
  </si>
  <si>
    <t>Звездина Н.С.</t>
  </si>
  <si>
    <t>Ветеринарная станция по Петрозаводскому городскому округу и Прионежскому муниципальному району</t>
  </si>
  <si>
    <t>Начальник станции</t>
  </si>
  <si>
    <t>4/3</t>
  </si>
  <si>
    <t>Миронова С.А.</t>
  </si>
  <si>
    <t>Главный ветеринарный врач</t>
  </si>
  <si>
    <t>Клочек О.В.</t>
  </si>
  <si>
    <t>Ведущий ветеринарный врач</t>
  </si>
  <si>
    <t>Нечаев</t>
  </si>
  <si>
    <t>Булыгина</t>
  </si>
  <si>
    <t>Ельцова Н.В.</t>
  </si>
  <si>
    <t>Чернигина Д.А.</t>
  </si>
  <si>
    <t>Кобеляцкая</t>
  </si>
  <si>
    <t>Ветеринарный фельдшер</t>
  </si>
  <si>
    <t>Могилевская</t>
  </si>
  <si>
    <t>Павлова/Ледовских Т.</t>
  </si>
  <si>
    <t>Регистратор</t>
  </si>
  <si>
    <t>Батурина Т.И.</t>
  </si>
  <si>
    <t>Лыкова Е.В.</t>
  </si>
  <si>
    <t>Архинос С.Н.</t>
  </si>
  <si>
    <t>Куксенкова А.В.</t>
  </si>
  <si>
    <t>Левковская М.В.</t>
  </si>
  <si>
    <t>Куклева Н.А.</t>
  </si>
  <si>
    <t>Сарканс А.</t>
  </si>
  <si>
    <t>Архинос Е.</t>
  </si>
  <si>
    <t>Богословская И.</t>
  </si>
  <si>
    <t>Костина Е.В.</t>
  </si>
  <si>
    <t>Батищева А.</t>
  </si>
  <si>
    <t>Регистратор-ассистент вет.врача</t>
  </si>
  <si>
    <t>Бутылова А.О.</t>
  </si>
  <si>
    <t>Шабалова А.С.</t>
  </si>
  <si>
    <t>Еремина Г.Ю.</t>
  </si>
  <si>
    <t>Теплова О.В.</t>
  </si>
  <si>
    <t>Варежкина Т.Н.</t>
  </si>
  <si>
    <t>Кондратьева К.Э.</t>
  </si>
  <si>
    <t>Ляху Л.И.</t>
  </si>
  <si>
    <t>Бароева</t>
  </si>
  <si>
    <t>Зюзикова О.Н.</t>
  </si>
  <si>
    <t>Кузнецова И.А.</t>
  </si>
  <si>
    <t>Колосенок</t>
  </si>
  <si>
    <t>Шитова О.</t>
  </si>
  <si>
    <t>Луковская М.О.</t>
  </si>
  <si>
    <t>Акимова Л.В.</t>
  </si>
  <si>
    <t>Гришина О.В.</t>
  </si>
  <si>
    <t>Денисова Д.А.</t>
  </si>
  <si>
    <t>Власова Н.Н.</t>
  </si>
  <si>
    <t>Брусницына Т.П.</t>
  </si>
  <si>
    <t>Родионова</t>
  </si>
  <si>
    <t>Догонина</t>
  </si>
  <si>
    <t>Голышева Б.А.</t>
  </si>
  <si>
    <t>Белясова Г.Ф.</t>
  </si>
  <si>
    <t>Кострова В.И.</t>
  </si>
  <si>
    <t>Бахур М.И.</t>
  </si>
  <si>
    <t>Дубровская</t>
  </si>
  <si>
    <t>Беломорский ветеринарный пункт</t>
  </si>
  <si>
    <t>Заведующий ветеринарным пунктом</t>
  </si>
  <si>
    <t>80</t>
  </si>
  <si>
    <t>Дзегорайтене А.А.</t>
  </si>
  <si>
    <t>Иванова Н.В.</t>
  </si>
  <si>
    <t>Антипина Т.В.</t>
  </si>
  <si>
    <t>Егорова Л.К.</t>
  </si>
  <si>
    <t>Исакова Н.П.</t>
  </si>
  <si>
    <t xml:space="preserve">Костомукшская ветеринарная станция </t>
  </si>
  <si>
    <t>Федосеева Ю.В.</t>
  </si>
  <si>
    <t>Жукова В.В.</t>
  </si>
  <si>
    <t>Кондрашова Е.А.</t>
  </si>
  <si>
    <t>Семкин Ю.А.</t>
  </si>
  <si>
    <t xml:space="preserve">Санитар ветеринарный </t>
  </si>
  <si>
    <t>Лутохина О.Г.</t>
  </si>
  <si>
    <t>Муезерский ветеринарный пункт</t>
  </si>
  <si>
    <t>Росинская</t>
  </si>
  <si>
    <t xml:space="preserve">Олонецкая ветеринарная станция </t>
  </si>
  <si>
    <t>Мурая Е.В.</t>
  </si>
  <si>
    <t>Федоров И.И.</t>
  </si>
  <si>
    <t>Мокеева Л.И.</t>
  </si>
  <si>
    <t>Чернышова В.В.</t>
  </si>
  <si>
    <t>Лукина Н.Д.</t>
  </si>
  <si>
    <t>Поташова А.А.</t>
  </si>
  <si>
    <t>Антипова Е.М.</t>
  </si>
  <si>
    <t>Батян Н.А.</t>
  </si>
  <si>
    <t>Рыбак Е.И.</t>
  </si>
  <si>
    <t>Юрченко Л.И.</t>
  </si>
  <si>
    <t>Хинконен Н.И.</t>
  </si>
  <si>
    <t>Побержина Н.</t>
  </si>
  <si>
    <t>Комарова А.Н./Хорзов</t>
  </si>
  <si>
    <t>Воронцова Д.Ю.</t>
  </si>
  <si>
    <t>Капустин В.В.</t>
  </si>
  <si>
    <t>Попова</t>
  </si>
  <si>
    <t>Суслова В.М.</t>
  </si>
  <si>
    <t>Борисова Ю.А.</t>
  </si>
  <si>
    <t>Лапшинская И.В.</t>
  </si>
  <si>
    <t xml:space="preserve">Главный ветеринарный врач </t>
  </si>
  <si>
    <t>Карачева С.В.</t>
  </si>
  <si>
    <t>Хорзов С.А./Литвинов А.Г.</t>
  </si>
  <si>
    <t>2/3</t>
  </si>
  <si>
    <t>Климович Е.О.</t>
  </si>
  <si>
    <t>Ивкова А.Г.</t>
  </si>
  <si>
    <t>Ренго Е.В.</t>
  </si>
  <si>
    <t>Вагина Л.А.</t>
  </si>
  <si>
    <t>Дроздова Н.В.</t>
  </si>
  <si>
    <t>Ренго А.И.</t>
  </si>
  <si>
    <t>Козырева А.</t>
  </si>
  <si>
    <t>Жук В.Н.</t>
  </si>
  <si>
    <t>Отдел лабораторного и эпизоотического мониторинга</t>
  </si>
  <si>
    <t>Заведующий отделом</t>
  </si>
  <si>
    <t>Аксенова Т.М.</t>
  </si>
  <si>
    <t>Ихтиопатолог</t>
  </si>
  <si>
    <t>Адамова Л.А.</t>
  </si>
  <si>
    <t>Ветеринарный врач-ихтиопатолог</t>
  </si>
  <si>
    <t>Ильин К.В.</t>
  </si>
  <si>
    <t>Лаборант</t>
  </si>
  <si>
    <t>Сонникова Т.А.</t>
  </si>
  <si>
    <t>Химико-микологический отдел</t>
  </si>
  <si>
    <t>Биохимик</t>
  </si>
  <si>
    <t>Морозова Я.П.</t>
  </si>
  <si>
    <t>Бактериологический отдел</t>
  </si>
  <si>
    <t>Заведующий отделом - заместитель руководителя испытательной лаборатории</t>
  </si>
  <si>
    <t>Бабина М.К</t>
  </si>
  <si>
    <t>Харина Л.В.</t>
  </si>
  <si>
    <t>Ведущий микробиолог</t>
  </si>
  <si>
    <t>Христенко А.С.</t>
  </si>
  <si>
    <t>Микробиолог</t>
  </si>
  <si>
    <t>Радиолог</t>
  </si>
  <si>
    <t>Абрамова Н.В.</t>
  </si>
  <si>
    <t>Чернышова Т.Н.</t>
  </si>
  <si>
    <t>Фирсова И.К.</t>
  </si>
  <si>
    <t>Рекить А.В.</t>
  </si>
  <si>
    <t>Серологический отдел</t>
  </si>
  <si>
    <t>Заведующая отделом</t>
  </si>
  <si>
    <t>Николаенко Е.А.</t>
  </si>
  <si>
    <t>_______________________________</t>
  </si>
  <si>
    <t>О.Ю.Зайцева</t>
  </si>
  <si>
    <t>(должность)</t>
  </si>
  <si>
    <t>(подпись)</t>
  </si>
  <si>
    <t>(расшифровка подписи)</t>
  </si>
  <si>
    <t>Е.В.Мандейкене</t>
  </si>
  <si>
    <t>ФОТ за год</t>
  </si>
  <si>
    <t>в т.ч.</t>
  </si>
  <si>
    <t>Субсидия</t>
  </si>
  <si>
    <t>ПД</t>
  </si>
  <si>
    <t>`</t>
  </si>
  <si>
    <t>Налоги с ФОТ</t>
  </si>
  <si>
    <t>материалка</t>
  </si>
  <si>
    <t>к отпуску</t>
  </si>
  <si>
    <t>Заместители начальника</t>
  </si>
  <si>
    <t>Начальник ПФО - главный бухгалтер</t>
  </si>
  <si>
    <t>Вспомогательный песонал</t>
  </si>
  <si>
    <t>Прочий персонал</t>
  </si>
  <si>
    <t>Центр Компетенции</t>
  </si>
  <si>
    <t>откл.</t>
  </si>
  <si>
    <r>
      <t xml:space="preserve">В соответствии со значением натуральных норм. Производственный календарь </t>
    </r>
    <r>
      <rPr>
        <sz val="9"/>
        <color rgb="FF0000FF"/>
        <rFont val="Times New Roman"/>
        <family val="1"/>
        <charset val="204"/>
      </rPr>
      <t>2020</t>
    </r>
    <r>
      <rPr>
        <sz val="9"/>
        <color theme="1"/>
        <rFont val="Times New Roman"/>
        <family val="1"/>
        <charset val="204"/>
      </rPr>
      <t xml:space="preserve"> год: при 40 часовой рабочей неделе - </t>
    </r>
    <r>
      <rPr>
        <sz val="9"/>
        <color rgb="FF0000FF"/>
        <rFont val="Times New Roman"/>
        <family val="1"/>
        <charset val="204"/>
      </rPr>
      <t>1979</t>
    </r>
    <r>
      <rPr>
        <sz val="9"/>
        <color theme="1"/>
        <rFont val="Times New Roman"/>
        <family val="1"/>
        <charset val="204"/>
      </rPr>
      <t xml:space="preserve"> часов, при 36 часовой рабочей неделе - </t>
    </r>
    <r>
      <rPr>
        <sz val="9"/>
        <color rgb="FF0000FF"/>
        <rFont val="Times New Roman"/>
        <family val="1"/>
        <charset val="204"/>
      </rPr>
      <t>1780,6</t>
    </r>
    <r>
      <rPr>
        <sz val="9"/>
        <color theme="1"/>
        <rFont val="Times New Roman"/>
        <family val="1"/>
        <charset val="204"/>
      </rPr>
      <t xml:space="preserve"> часов. Основной персонал </t>
    </r>
    <r>
      <rPr>
        <sz val="9"/>
        <color rgb="FF0000FF"/>
        <rFont val="Times New Roman"/>
        <family val="1"/>
        <charset val="204"/>
      </rPr>
      <t>107</t>
    </r>
    <r>
      <rPr>
        <sz val="9"/>
        <color theme="1"/>
        <rFont val="Times New Roman"/>
        <family val="1"/>
        <charset val="204"/>
      </rPr>
      <t xml:space="preserve"> человека. (Начальники отделов, начальник станции, начальники вет. участков, заведующие вет. пунктов, главные вет. врачи, ведущие вет. врачи, вет. врачи, вет. фельдшеры, лаборанты, лаб. специалисты).
</t>
    </r>
    <r>
      <rPr>
        <sz val="9"/>
        <color rgb="FF0000FF"/>
        <rFont val="Times New Roman"/>
        <family val="1"/>
        <charset val="204"/>
      </rPr>
      <t>107</t>
    </r>
    <r>
      <rPr>
        <sz val="9"/>
        <color theme="1"/>
        <rFont val="Times New Roman"/>
        <family val="1"/>
        <charset val="204"/>
      </rPr>
      <t xml:space="preserve"> ставки х </t>
    </r>
    <r>
      <rPr>
        <sz val="9"/>
        <color rgb="FF0000FF"/>
        <rFont val="Times New Roman"/>
        <family val="1"/>
        <charset val="204"/>
      </rPr>
      <t>1780,6</t>
    </r>
    <r>
      <rPr>
        <sz val="9"/>
        <color theme="1"/>
        <rFont val="Times New Roman"/>
        <family val="1"/>
        <charset val="204"/>
      </rPr>
      <t xml:space="preserve"> = 190 524,20
Определяется исходя из годового фонда оплаты труда и годового фонда рабочего времени:
основной персонал -  48 455,7 / 190 524,20 = 254,33 </t>
    </r>
  </si>
  <si>
    <t>Основной персонал (ветеринарные и лабораторные специалисты)</t>
  </si>
  <si>
    <t>Нормативное количество ресурса материального запаса/основного средства (шт.)</t>
  </si>
  <si>
    <t>Расчет прямых затрат на выполнение государственной услуги № 750012.Р.10.0.00110027001</t>
  </si>
  <si>
    <t>Расчет прямых затрат на выполнение государственной услуги № 750012.Р.10.0.00100016001</t>
  </si>
  <si>
    <t>Расчет прямых затрат на выполнение государственной услуги № 750012.Р.10.0.00100015001</t>
  </si>
  <si>
    <t>Расчет прямых затрат на выполнение государственной услуги № 750012.Р.10.0.00100022001</t>
  </si>
  <si>
    <t>Расчет прямых затрат на выполнение государственной услуги № 750012.Р.10.0.00100021001</t>
  </si>
  <si>
    <t>Расчет прямых затрат на выполнение государственной услуги № 750012.Р.10.0.00110001001</t>
  </si>
  <si>
    <t>ЦК с материалкой</t>
  </si>
  <si>
    <t>Федотова Е.Ю.</t>
  </si>
  <si>
    <t>Прокопенко О.А.</t>
  </si>
  <si>
    <t>ИО</t>
  </si>
  <si>
    <t>Десятерик Д.Э.</t>
  </si>
  <si>
    <t>Ильичева Е.М.</t>
  </si>
  <si>
    <t>Косарева Н.А.</t>
  </si>
  <si>
    <t>Хлуднева А.В.</t>
  </si>
  <si>
    <t>Вешнякова К.А.</t>
  </si>
  <si>
    <t>использование базы "Гос.финансы" + "ГосЗаказ"</t>
  </si>
  <si>
    <t>Центр НП</t>
  </si>
  <si>
    <t>поверка диэлектрических перчаток</t>
  </si>
  <si>
    <t>Мед.осмотры при приеме на работу</t>
  </si>
  <si>
    <t>увеличение стоимости по Сегеже</t>
  </si>
  <si>
    <t>МСХ</t>
  </si>
  <si>
    <t>без ЦК и МСХ</t>
  </si>
  <si>
    <t>план</t>
  </si>
  <si>
    <t>Расчет норматива затрат на общехозяйственные нужды Центра компетенции в сфере АПК</t>
  </si>
  <si>
    <t>Автотранспортное обслуживание должностных лиц государственных органов и государственных учреждений</t>
  </si>
  <si>
    <t>Формирование комплекта бюджетной отчетности государственных органов</t>
  </si>
  <si>
    <t>Организация делопроизводства, комплектование, хранение, учет и использование архивных документов государственного органа</t>
  </si>
  <si>
    <t>Обеспечение материально-технического сопровождения деятельности государственных органов</t>
  </si>
  <si>
    <t>Машино-часы работы автомобилей</t>
  </si>
  <si>
    <t>Количество объектов учета (регистров)</t>
  </si>
  <si>
    <t>Количество сформированных дел архивного фонда</t>
  </si>
  <si>
    <t>Количество заключенных контрактов (договоров)</t>
  </si>
  <si>
    <t>водители</t>
  </si>
  <si>
    <t>2 экономиста ОА</t>
  </si>
  <si>
    <t>2 документоведа ОА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</si>
  <si>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10"/>
        <color rgb="FF0000FF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человека.   (2 ставки Х</t>
    </r>
    <r>
      <rPr>
        <sz val="9"/>
        <rFont val="Times New Roman"/>
        <family val="1"/>
        <charset val="204"/>
      </rPr>
      <t xml:space="preserve"> 1780,60)=3 561,2 Определяется исходя из годового фонда оплаты труда и годового фонда рабочего времени: основной персонал - 1 062,4/ 3 561,2 = 298,32</t>
    </r>
  </si>
  <si>
    <t>Ежегодный медицинский осмотр водителей</t>
  </si>
  <si>
    <t>Предрейсовый медицинский контроль водителей</t>
  </si>
  <si>
    <t>Предрейсовый технический контроль автотранспорта</t>
  </si>
  <si>
    <t>ГСМ</t>
  </si>
  <si>
    <t>Техническое обслуживание, ремонт автотранспорта, приобретение автозапчастей</t>
  </si>
  <si>
    <t>Страхование автотранспорта</t>
  </si>
  <si>
    <t>Почтовые расходы: Абонентский ящик</t>
  </si>
  <si>
    <t>Почтовые расходы: Возврат и отправка писем</t>
  </si>
  <si>
    <t>Почтовые расходы: Марки, конверты</t>
  </si>
  <si>
    <t>Почтовые расходы: Фельдъегерская связь</t>
  </si>
  <si>
    <t>Аренда земли - Калевала</t>
  </si>
  <si>
    <t>Аренда помещения - Калевала</t>
  </si>
  <si>
    <t>Коммунальные платежи - Калевала</t>
  </si>
  <si>
    <t>Спец.продукция для гостехнадзора: Ламинационные пакеты</t>
  </si>
  <si>
    <t>Спец.продукция для гостехнадзора: Бланки строгой отчетности</t>
  </si>
  <si>
    <t>Спец.продукция для гостехнадзора: Государственные номерные знаки</t>
  </si>
  <si>
    <t>Канцелярские товары</t>
  </si>
  <si>
    <t>Приобретение оф.бумаги</t>
  </si>
  <si>
    <t>Бланки Племенных свидетельств</t>
  </si>
  <si>
    <t>Изготовление открыток</t>
  </si>
  <si>
    <t>Изготовление грамот</t>
  </si>
  <si>
    <t>Изготовление служебных удостоверений</t>
  </si>
  <si>
    <t>Прочее для нужд кадровой службы</t>
  </si>
  <si>
    <t xml:space="preserve"> - ФОТ ОА</t>
  </si>
  <si>
    <t>общий фонд времени на 2020г., ч.</t>
  </si>
  <si>
    <t>Привлечение сторонних организаций</t>
  </si>
  <si>
    <t>0066</t>
  </si>
  <si>
    <t>На постоянной основе</t>
  </si>
  <si>
    <t>На бумажном носителе и (или) в электронном виде</t>
  </si>
  <si>
    <t>Диагностические мероприятия</t>
  </si>
  <si>
    <t>Вакцинация</t>
  </si>
  <si>
    <t>Количество исследований
(Единица)</t>
  </si>
  <si>
    <t>Количество документов
(Единица)</t>
  </si>
  <si>
    <t>Количество документов
(Штука)</t>
  </si>
  <si>
    <t>Количество мероприятий
(Штука)</t>
  </si>
  <si>
    <t>Количество голов
(Тысяча голов)</t>
  </si>
  <si>
    <t>Количество объектов
(Штука)</t>
  </si>
  <si>
    <t>Количество сформированных дел архивного фонда
(Штука)</t>
  </si>
  <si>
    <t>Количество заключенных контрактов (договоров) на приобретение товаров (работ, услуг), необходимых для обеспечения деятельности государственного органа
(Штука)</t>
  </si>
  <si>
    <t>Машино-часы работы автомобилей
(Единица)</t>
  </si>
  <si>
    <t>Количество объектов учета (регистров)
(Единица)</t>
  </si>
  <si>
    <t>Аренда</t>
  </si>
  <si>
    <t>районы</t>
  </si>
  <si>
    <t>ПТЗ - ООО Лори</t>
  </si>
  <si>
    <t>предрейсовый мед.осмотр водителей</t>
  </si>
  <si>
    <t>послерейсовый мед.осмотр водителей</t>
  </si>
  <si>
    <t>предрейсовый тех.контроль а/т</t>
  </si>
  <si>
    <t>обслуживание сайта РЦВК</t>
  </si>
  <si>
    <t>Пособия бывшим работникам (сокращенные)</t>
  </si>
  <si>
    <t>Увеличение стоимости прочих материальных запасов однократного применения</t>
  </si>
  <si>
    <t>Новогодние подарки для детей сотрудников</t>
  </si>
  <si>
    <t>Проверка лок.смет, изготовление энергетич.паспортов</t>
  </si>
  <si>
    <t>Обслуживание баз данных, сайта</t>
  </si>
  <si>
    <t>Текущие ремонты</t>
  </si>
  <si>
    <t xml:space="preserve">Расходные материалы, испульзуемые при оказании гос.услуги </t>
  </si>
  <si>
    <t>Вода</t>
  </si>
  <si>
    <t>Реактивы, реагенты РВЛ</t>
  </si>
  <si>
    <t>Договора ГПХ</t>
  </si>
  <si>
    <t>ФОТ 16 санитаров</t>
  </si>
  <si>
    <t>Отдел транспортного обеспечения, административно-хозяйственный отдел</t>
  </si>
  <si>
    <t>в услугах зачтено</t>
  </si>
  <si>
    <t>Мягкий инвентарь, спецодежда по ГЗ</t>
  </si>
  <si>
    <t>Мягкий инвентарь, спецодежда (водители, электрик, подсоб.рабочий, санитар-водитель)</t>
  </si>
  <si>
    <t>494117.Р.10.1.00660001001</t>
  </si>
  <si>
    <t>692029.Р.10.1.02700001001</t>
  </si>
  <si>
    <t>0270</t>
  </si>
  <si>
    <t>821110.Р.10.1.02690001001</t>
  </si>
  <si>
    <t>0269</t>
  </si>
  <si>
    <t>821110.Р.10.1.02660001001</t>
  </si>
  <si>
    <t>0266</t>
  </si>
  <si>
    <t>Расчет базового норматива затрат на оказание услуги по коду № 494117.Р.10.1.00660001001</t>
  </si>
  <si>
    <t>Расчет базового норматива затрат на оказание услуги по коду № 692029.Р.10.1.02700001001</t>
  </si>
  <si>
    <t>Расчет базового норматива затрат на оказание услуги по коду № 821110.Р.10.1.02690001001</t>
  </si>
  <si>
    <t>Расчет базового норматива затрат на оказание услуги по коду № 821110.Р.10.1.02660001001</t>
  </si>
  <si>
    <t>Консультант плюс, антивирус</t>
  </si>
  <si>
    <t>Обслуживание сайта</t>
  </si>
  <si>
    <t>Суточные</t>
  </si>
  <si>
    <t>Транспортный налог</t>
  </si>
  <si>
    <t>Запасные части для автотранспорта</t>
  </si>
  <si>
    <t>Спец.продукция для гостехнадзора</t>
  </si>
  <si>
    <t>Приобретение бумаги и канцелярских принадлежностей</t>
  </si>
  <si>
    <t>Изготовление грамот, открыток, служебных удостоверений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</si>
  <si>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9"/>
        <rFont val="Times New Roman"/>
        <family val="1"/>
        <charset val="204"/>
      </rPr>
      <t>9 человек.
(9 ставок Х 1 979)=17 811,00 Определяется исходя из годового фонда оплаты труда и годового фонда рабочего времени: основной персонал - 3 032,66/ 17 811,00 = 170,27</t>
    </r>
  </si>
  <si>
    <t>по "2"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</si>
  <si>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10"/>
        <color rgb="FF0000FF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человека.
(2 ставки Х</t>
    </r>
    <r>
      <rPr>
        <sz val="9"/>
        <rFont val="Times New Roman"/>
        <family val="1"/>
        <charset val="204"/>
      </rPr>
      <t xml:space="preserve"> 1780,60)=3 561,20 Определяется исходя из годового фонда оплаты труда и годового фонда рабочего времени: основной персонал - 1 191,6/ 3 561,20 = 334,61</t>
    </r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</si>
  <si>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10"/>
        <color rgb="FF0000FF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 xml:space="preserve"> человека.
(4 ставки Х</t>
    </r>
    <r>
      <rPr>
        <sz val="9"/>
        <rFont val="Times New Roman"/>
        <family val="1"/>
        <charset val="204"/>
      </rPr>
      <t xml:space="preserve"> 1780,60)=7 122,4 Определяется исходя из годового фонда оплаты труда и годового фонда рабочего времени: основной персонал - 2 505,1/ 7 122,4 = 351,72</t>
    </r>
  </si>
  <si>
    <r>
      <t xml:space="preserve">Начальник + 
</t>
    </r>
    <r>
      <rPr>
        <sz val="11"/>
        <color rgb="FFFF0000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аналитика ОА</t>
    </r>
  </si>
  <si>
    <t>Отправка корреспонденции (спец.связь) для РВЛ</t>
  </si>
  <si>
    <t>заправка картриджей</t>
  </si>
  <si>
    <t xml:space="preserve">Расчет нормативных затрат на оказание государственных услуг </t>
  </si>
  <si>
    <t>Расчет затрат на выполнение работ</t>
  </si>
  <si>
    <t>Расчет прямых затрат на выполнение работ № 702200.Р.10.0.02130001001</t>
  </si>
  <si>
    <t>с Центром компетенции</t>
  </si>
  <si>
    <t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t>
  </si>
  <si>
    <t>Расчет затрат на выполнение работ № 821110.Р.10.1.02660001001</t>
  </si>
  <si>
    <t>Расчет затрат на выполнение работ № 821110.Р.10.1.02690001001</t>
  </si>
  <si>
    <t>Расчет затрат на выполнение работ № 692029.Р.10.1.02700001001</t>
  </si>
  <si>
    <t>Расчет затрат на выполнение работ № 494117.Р.10.1.00660001001</t>
  </si>
  <si>
    <r>
      <t xml:space="preserve"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</t>
    </r>
    <r>
      <rPr>
        <sz val="9"/>
        <color rgb="FF0066FF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человека. (3 ставки Х 1780,60)=</t>
    </r>
    <r>
      <rPr>
        <sz val="9"/>
        <rFont val="Times New Roman"/>
        <family val="1"/>
        <charset val="204"/>
      </rPr>
      <t>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t>
    </r>
  </si>
  <si>
    <t>Объём финансового обеспечения на оказание государственной услуги (работы) (гр.8 х гр.9)</t>
  </si>
  <si>
    <t>Условие, отражающее специфику услуги (работы)</t>
  </si>
  <si>
    <t>Наименование субъекта РФ, на территории которого оказывается услуга (работа)</t>
  </si>
  <si>
    <t>Базовый норматив затрат на оказание услуги (работы), руб.</t>
  </si>
  <si>
    <t>Нормативные затраты на оказание i-ой услуги (работы), руб.</t>
  </si>
  <si>
    <t>Установленная численность, единиц</t>
  </si>
  <si>
    <t>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</si>
  <si>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</si>
  <si>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</si>
  <si>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</si>
  <si>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Оплата труда работников, непосредственно связанных с оказанием работы (водители, по совместительству)</t>
  </si>
  <si>
    <t>Материальные запасы/основные средства и иные ресурсы, непосредственно связанные с выполнением работ</t>
  </si>
  <si>
    <t>ВСЕГО затрат, связанных с выполнением работ</t>
  </si>
  <si>
    <t>Расчеты страховых взносов на обязательное страхование в Пенсионный фонд РФ, в Фонд социального страхования РФ, в Федеральный фонд ОМС</t>
  </si>
  <si>
    <t>Нормативное количество оказываемых работ</t>
  </si>
  <si>
    <t>Количественный показатель затрат, непосредственно связанный с выполнением работ</t>
  </si>
  <si>
    <t>Среднемесячный размер оплаты труда на одного работника</t>
  </si>
  <si>
    <t>Наименование
(вид материального запаса/основного средства, ресурса)</t>
  </si>
  <si>
    <t>8=3*4*12 мес.</t>
  </si>
  <si>
    <t>4=5+6+7</t>
  </si>
  <si>
    <t>10=8/9</t>
  </si>
  <si>
    <t>ИТОГО мат.затраты</t>
  </si>
  <si>
    <t>Нормативные затраты, непосредственно связанные с выполнением работ</t>
  </si>
  <si>
    <t>расчет только на 4 машины (ПТЗ), цены по договру с ООО "ЛОРИ"</t>
  </si>
  <si>
    <t>расчет по районам, цены - исходя из договоров заключенных с РЦВК</t>
  </si>
  <si>
    <t>обслуживание 11 ед.техники</t>
  </si>
  <si>
    <t>из расчета 9 водителей по 0,2 ставке</t>
  </si>
  <si>
    <t>ведущий экономист отдела аналитики</t>
  </si>
  <si>
    <t>документовед 1 категории отдела аналитики</t>
  </si>
  <si>
    <t>из реестра договоров МСХ</t>
  </si>
  <si>
    <t>Почтовые расходы: Абонентский ящик (ежемес.)</t>
  </si>
  <si>
    <t>Коммунальные платежи</t>
  </si>
  <si>
    <t>из пречня затрат планируемых к передаче</t>
  </si>
  <si>
    <t>Начальник отдела аналитики и 3 ед. ведущего аналитика</t>
  </si>
  <si>
    <t>И.о. начальника</t>
  </si>
  <si>
    <t>Приобретение автомобиля</t>
  </si>
  <si>
    <t>Значения нормативных затрат на оказание государственных услуг и затрат на выполнение работ,
оказываемых ГБУ РК "Республиканский центр ветеринарии и консультирования"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</si>
</sst>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0000000"/>
    <numFmt numFmtId="168" formatCode="0.0"/>
    <numFmt numFmtId="169" formatCode="0.000000000"/>
    <numFmt numFmtId="170" formatCode="0.0%"/>
    <numFmt numFmtId="171" formatCode="#,##0.00000"/>
    <numFmt numFmtId="172" formatCode="#,##0.00000000"/>
    <numFmt numFmtId="173" formatCode="#,##0.0000000"/>
    <numFmt numFmtId="174" formatCode="_-* #,##0.000_р_._-;\-* #,##0.000_р_._-;_-* &quot;-&quot;??_р_._-;_-@_-"/>
    <numFmt numFmtId="175" formatCode="0;[Red]\-0"/>
    <numFmt numFmtId="176" formatCode="0.00;[Red]\-0.00"/>
    <numFmt numFmtId="177" formatCode="#,##0.00_р_.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66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3F2F"/>
      <name val="Arial"/>
      <family val="2"/>
    </font>
    <font>
      <b/>
      <sz val="8"/>
      <color rgb="FF003F2F"/>
      <name val="Arial"/>
      <family val="2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3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  <fill>
      <patternFill patternType="solid">
        <fgColor rgb="FFFFF3FF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ACC8BD"/>
      </left>
      <right/>
      <top style="thin">
        <color rgb="FFB3AC86"/>
      </top>
      <bottom style="thin">
        <color rgb="FFACC8BD"/>
      </bottom>
      <diagonal/>
    </border>
    <border>
      <left/>
      <right/>
      <top style="thin">
        <color rgb="FFB3AC86"/>
      </top>
      <bottom style="thin">
        <color rgb="FFACC8BD"/>
      </bottom>
      <diagonal/>
    </border>
    <border>
      <left/>
      <right style="thin">
        <color rgb="FFACC8BD"/>
      </right>
      <top style="thin">
        <color rgb="FFB3AC86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3" fillId="0" borderId="0"/>
    <xf numFmtId="0" fontId="5" fillId="0" borderId="0"/>
    <xf numFmtId="43" fontId="38" fillId="0" borderId="0" applyFont="0" applyFill="0" applyBorder="0" applyAlignment="0" applyProtection="0"/>
    <xf numFmtId="0" fontId="4" fillId="0" borderId="0"/>
    <xf numFmtId="0" fontId="38" fillId="0" borderId="0"/>
    <xf numFmtId="43" fontId="38" fillId="0" borderId="0" applyFont="0" applyFill="0" applyBorder="0" applyAlignment="0" applyProtection="0"/>
    <xf numFmtId="0" fontId="3" fillId="0" borderId="0"/>
    <xf numFmtId="0" fontId="49" fillId="0" borderId="0"/>
    <xf numFmtId="0" fontId="2" fillId="0" borderId="0"/>
    <xf numFmtId="0" fontId="38" fillId="0" borderId="0"/>
    <xf numFmtId="0" fontId="2" fillId="0" borderId="0"/>
    <xf numFmtId="0" fontId="54" fillId="0" borderId="0"/>
    <xf numFmtId="0" fontId="1" fillId="0" borderId="0"/>
    <xf numFmtId="0" fontId="1" fillId="0" borderId="0"/>
  </cellStyleXfs>
  <cellXfs count="1221">
    <xf numFmtId="0" fontId="0" fillId="0" borderId="0" xfId="0"/>
    <xf numFmtId="0" fontId="6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6" fillId="0" borderId="0" xfId="0" applyFont="1" applyFill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/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21" xfId="0" applyFont="1" applyBorder="1"/>
    <xf numFmtId="0" fontId="6" fillId="7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169" fontId="9" fillId="0" borderId="1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 wrapText="1"/>
    </xf>
    <xf numFmtId="4" fontId="9" fillId="6" borderId="13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vertical="center"/>
    </xf>
    <xf numFmtId="169" fontId="9" fillId="6" borderId="1" xfId="0" applyNumberFormat="1" applyFont="1" applyFill="1" applyBorder="1" applyAlignment="1">
      <alignment vertical="center"/>
    </xf>
    <xf numFmtId="4" fontId="15" fillId="6" borderId="13" xfId="0" applyNumberFormat="1" applyFont="1" applyFill="1" applyBorder="1" applyAlignment="1">
      <alignment horizontal="right" vertical="center" wrapText="1"/>
    </xf>
    <xf numFmtId="2" fontId="9" fillId="6" borderId="13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4" fontId="20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4" fontId="27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/>
    <xf numFmtId="0" fontId="0" fillId="0" borderId="0" xfId="0" applyAlignment="1">
      <alignment horizontal="right" vertical="center"/>
    </xf>
    <xf numFmtId="0" fontId="3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31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4" fontId="6" fillId="3" borderId="31" xfId="0" applyNumberFormat="1" applyFont="1" applyFill="1" applyBorder="1" applyAlignment="1">
      <alignment vertical="center"/>
    </xf>
    <xf numFmtId="3" fontId="6" fillId="3" borderId="31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2" fontId="8" fillId="9" borderId="31" xfId="0" applyNumberFormat="1" applyFont="1" applyFill="1" applyBorder="1" applyAlignment="1">
      <alignment vertical="center"/>
    </xf>
    <xf numFmtId="0" fontId="13" fillId="3" borderId="3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0" fillId="3" borderId="31" xfId="0" applyFont="1" applyFill="1" applyBorder="1" applyAlignment="1">
      <alignment vertical="center" wrapText="1"/>
    </xf>
    <xf numFmtId="2" fontId="20" fillId="3" borderId="31" xfId="0" applyNumberFormat="1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vertical="center" wrapText="1"/>
    </xf>
    <xf numFmtId="2" fontId="20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1" fontId="6" fillId="3" borderId="31" xfId="0" applyNumberFormat="1" applyFont="1" applyFill="1" applyBorder="1" applyAlignment="1">
      <alignment vertical="center"/>
    </xf>
    <xf numFmtId="4" fontId="8" fillId="9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2" fontId="6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3" fontId="0" fillId="0" borderId="0" xfId="0" applyNumberFormat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 wrapText="1"/>
    </xf>
    <xf numFmtId="4" fontId="6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4" fontId="0" fillId="8" borderId="31" xfId="0" applyNumberFormat="1" applyFill="1" applyBorder="1" applyAlignment="1">
      <alignment vertical="center"/>
    </xf>
    <xf numFmtId="4" fontId="6" fillId="8" borderId="31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4" fontId="0" fillId="0" borderId="31" xfId="0" applyNumberFormat="1" applyBorder="1" applyAlignment="1">
      <alignment vertical="center" wrapText="1"/>
    </xf>
    <xf numFmtId="3" fontId="6" fillId="0" borderId="3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20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51" xfId="0" applyFont="1" applyFill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/>
    </xf>
    <xf numFmtId="0" fontId="11" fillId="0" borderId="3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/>
    </xf>
    <xf numFmtId="3" fontId="0" fillId="8" borderId="31" xfId="0" applyNumberFormat="1" applyFill="1" applyBorder="1" applyAlignment="1">
      <alignment horizontal="center" vertical="center"/>
    </xf>
    <xf numFmtId="3" fontId="0" fillId="8" borderId="31" xfId="0" applyNumberFormat="1" applyFill="1" applyBorder="1" applyAlignment="1">
      <alignment vertical="center"/>
    </xf>
    <xf numFmtId="2" fontId="0" fillId="8" borderId="31" xfId="0" applyNumberFormat="1" applyFill="1" applyBorder="1" applyAlignment="1">
      <alignment vertical="center"/>
    </xf>
    <xf numFmtId="4" fontId="0" fillId="8" borderId="5" xfId="0" applyNumberForma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43" fillId="8" borderId="31" xfId="0" applyFont="1" applyFill="1" applyBorder="1" applyAlignment="1">
      <alignment vertical="center" wrapText="1"/>
    </xf>
    <xf numFmtId="4" fontId="0" fillId="0" borderId="31" xfId="0" applyNumberForma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16" fontId="6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right" vertical="center"/>
    </xf>
    <xf numFmtId="2" fontId="8" fillId="0" borderId="31" xfId="0" applyNumberFormat="1" applyFont="1" applyFill="1" applyBorder="1" applyAlignment="1">
      <alignment vertical="center"/>
    </xf>
    <xf numFmtId="2" fontId="6" fillId="0" borderId="31" xfId="0" applyNumberFormat="1" applyFont="1" applyFill="1" applyBorder="1" applyAlignment="1">
      <alignment vertical="center" wrapText="1"/>
    </xf>
    <xf numFmtId="164" fontId="16" fillId="0" borderId="31" xfId="0" applyNumberFormat="1" applyFont="1" applyFill="1" applyBorder="1" applyAlignment="1">
      <alignment vertical="center"/>
    </xf>
    <xf numFmtId="2" fontId="20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/>
    </xf>
    <xf numFmtId="0" fontId="11" fillId="0" borderId="51" xfId="0" applyFont="1" applyFill="1" applyBorder="1" applyAlignment="1">
      <alignment vertical="center" wrapText="1"/>
    </xf>
    <xf numFmtId="0" fontId="6" fillId="0" borderId="28" xfId="0" applyNumberFormat="1" applyFont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66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6" fillId="3" borderId="41" xfId="0" quotePrefix="1" applyFont="1" applyFill="1" applyBorder="1" applyAlignment="1">
      <alignment horizontal="center" vertical="center" wrapText="1"/>
    </xf>
    <xf numFmtId="174" fontId="22" fillId="0" borderId="41" xfId="3" quotePrefix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" fontId="20" fillId="8" borderId="3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4" fontId="14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vertical="center" wrapText="1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4" fontId="46" fillId="0" borderId="5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" fontId="46" fillId="0" borderId="31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9" fontId="6" fillId="0" borderId="31" xfId="0" applyNumberFormat="1" applyFont="1" applyFill="1" applyBorder="1" applyAlignment="1">
      <alignment horizontal="center" vertical="center"/>
    </xf>
    <xf numFmtId="4" fontId="6" fillId="4" borderId="31" xfId="0" applyNumberFormat="1" applyFont="1" applyFill="1" applyBorder="1" applyAlignment="1">
      <alignment vertical="center"/>
    </xf>
    <xf numFmtId="170" fontId="27" fillId="4" borderId="31" xfId="0" applyNumberFormat="1" applyFont="1" applyFill="1" applyBorder="1" applyAlignment="1">
      <alignment vertical="center"/>
    </xf>
    <xf numFmtId="0" fontId="8" fillId="8" borderId="31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31" fillId="8" borderId="31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vertical="center"/>
    </xf>
    <xf numFmtId="4" fontId="8" fillId="8" borderId="31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27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vertical="center" wrapText="1"/>
    </xf>
    <xf numFmtId="0" fontId="27" fillId="0" borderId="31" xfId="0" applyFont="1" applyBorder="1" applyAlignment="1">
      <alignment vertical="center"/>
    </xf>
    <xf numFmtId="4" fontId="27" fillId="11" borderId="31" xfId="0" applyNumberFormat="1" applyFont="1" applyFill="1" applyBorder="1" applyAlignment="1">
      <alignment vertical="center"/>
    </xf>
    <xf numFmtId="4" fontId="27" fillId="0" borderId="31" xfId="0" applyNumberFormat="1" applyFont="1" applyBorder="1" applyAlignment="1">
      <alignment vertical="center"/>
    </xf>
    <xf numFmtId="4" fontId="27" fillId="0" borderId="31" xfId="0" applyNumberFormat="1" applyFont="1" applyFill="1" applyBorder="1" applyAlignment="1">
      <alignment vertical="center"/>
    </xf>
    <xf numFmtId="4" fontId="50" fillId="0" borderId="0" xfId="0" applyNumberFormat="1" applyFont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4" fontId="45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0" fillId="0" borderId="32" xfId="0" applyNumberFormat="1" applyFont="1" applyBorder="1" applyAlignment="1">
      <alignment vertical="center"/>
    </xf>
    <xf numFmtId="4" fontId="40" fillId="0" borderId="31" xfId="0" applyNumberFormat="1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4" fontId="45" fillId="0" borderId="31" xfId="0" applyNumberFormat="1" applyFont="1" applyBorder="1" applyAlignment="1">
      <alignment vertical="center"/>
    </xf>
    <xf numFmtId="0" fontId="33" fillId="0" borderId="31" xfId="0" applyFont="1" applyFill="1" applyBorder="1" applyAlignment="1">
      <alignment horizontal="right"/>
    </xf>
    <xf numFmtId="0" fontId="34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4" fontId="34" fillId="0" borderId="31" xfId="0" applyNumberFormat="1" applyFont="1" applyBorder="1" applyAlignment="1">
      <alignment vertical="center"/>
    </xf>
    <xf numFmtId="0" fontId="33" fillId="0" borderId="31" xfId="0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right" vertical="center" wrapText="1"/>
    </xf>
    <xf numFmtId="4" fontId="48" fillId="0" borderId="31" xfId="0" applyNumberFormat="1" applyFont="1" applyBorder="1" applyAlignment="1">
      <alignment vertical="center"/>
    </xf>
    <xf numFmtId="0" fontId="40" fillId="0" borderId="31" xfId="0" applyFont="1" applyBorder="1" applyAlignment="1">
      <alignment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right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0" fillId="0" borderId="31" xfId="0" applyNumberFormat="1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4" fontId="10" fillId="0" borderId="34" xfId="0" applyNumberFormat="1" applyFont="1" applyFill="1" applyBorder="1" applyAlignment="1">
      <alignment vertical="center"/>
    </xf>
    <xf numFmtId="0" fontId="24" fillId="0" borderId="31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4" fontId="24" fillId="0" borderId="34" xfId="0" applyNumberFormat="1" applyFont="1" applyBorder="1" applyAlignment="1">
      <alignment vertical="center"/>
    </xf>
    <xf numFmtId="4" fontId="24" fillId="0" borderId="34" xfId="0" applyNumberFormat="1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40" fillId="0" borderId="5" xfId="0" applyNumberFormat="1" applyFont="1" applyBorder="1" applyAlignment="1">
      <alignment vertical="center"/>
    </xf>
    <xf numFmtId="4" fontId="40" fillId="0" borderId="31" xfId="0" applyNumberFormat="1" applyFont="1" applyFill="1" applyBorder="1" applyAlignment="1">
      <alignment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" fontId="40" fillId="0" borderId="23" xfId="0" applyNumberFormat="1" applyFont="1" applyBorder="1" applyAlignment="1">
      <alignment vertical="center"/>
    </xf>
    <xf numFmtId="4" fontId="40" fillId="0" borderId="24" xfId="0" applyNumberFormat="1" applyFont="1" applyBorder="1" applyAlignment="1">
      <alignment vertical="center"/>
    </xf>
    <xf numFmtId="0" fontId="40" fillId="13" borderId="31" xfId="0" applyFont="1" applyFill="1" applyBorder="1" applyAlignment="1">
      <alignment vertical="center" wrapText="1"/>
    </xf>
    <xf numFmtId="0" fontId="40" fillId="13" borderId="31" xfId="0" applyFont="1" applyFill="1" applyBorder="1" applyAlignment="1">
      <alignment horizontal="center" vertical="center" wrapText="1"/>
    </xf>
    <xf numFmtId="0" fontId="40" fillId="13" borderId="31" xfId="0" applyFont="1" applyFill="1" applyBorder="1" applyAlignment="1">
      <alignment horizontal="center" vertical="center"/>
    </xf>
    <xf numFmtId="0" fontId="24" fillId="13" borderId="31" xfId="0" applyFont="1" applyFill="1" applyBorder="1" applyAlignment="1">
      <alignment vertical="center" wrapText="1"/>
    </xf>
    <xf numFmtId="0" fontId="40" fillId="13" borderId="31" xfId="0" applyFont="1" applyFill="1" applyBorder="1" applyAlignment="1">
      <alignment vertical="center"/>
    </xf>
    <xf numFmtId="4" fontId="40" fillId="13" borderId="3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4" fontId="48" fillId="0" borderId="31" xfId="0" applyNumberFormat="1" applyFont="1" applyFill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4" fontId="40" fillId="11" borderId="31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4" fontId="11" fillId="0" borderId="31" xfId="0" applyNumberFormat="1" applyFont="1" applyBorder="1" applyAlignment="1">
      <alignment vertical="center"/>
    </xf>
    <xf numFmtId="4" fontId="9" fillId="0" borderId="34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0" fontId="10" fillId="8" borderId="31" xfId="0" applyFont="1" applyFill="1" applyBorder="1" applyAlignment="1">
      <alignment vertical="center" wrapText="1"/>
    </xf>
    <xf numFmtId="0" fontId="6" fillId="8" borderId="31" xfId="0" applyFont="1" applyFill="1" applyBorder="1" applyAlignment="1">
      <alignment vertical="center"/>
    </xf>
    <xf numFmtId="170" fontId="6" fillId="0" borderId="31" xfId="0" applyNumberFormat="1" applyFont="1" applyBorder="1" applyAlignment="1">
      <alignment vertical="center"/>
    </xf>
    <xf numFmtId="4" fontId="27" fillId="8" borderId="31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174" fontId="22" fillId="0" borderId="0" xfId="3" quotePrefix="1" applyNumberFormat="1" applyFont="1" applyBorder="1" applyAlignment="1">
      <alignment vertical="center" wrapText="1"/>
    </xf>
    <xf numFmtId="4" fontId="6" fillId="0" borderId="32" xfId="0" applyNumberFormat="1" applyFont="1" applyBorder="1" applyAlignment="1">
      <alignment vertical="center"/>
    </xf>
    <xf numFmtId="0" fontId="6" fillId="8" borderId="31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2" fontId="6" fillId="8" borderId="31" xfId="0" applyNumberFormat="1" applyFont="1" applyFill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8" fillId="9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40" fillId="0" borderId="7" xfId="0" applyNumberFormat="1" applyFont="1" applyBorder="1" applyAlignment="1">
      <alignment vertical="center"/>
    </xf>
    <xf numFmtId="4" fontId="24" fillId="0" borderId="57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57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4" fontId="11" fillId="0" borderId="57" xfId="0" applyNumberFormat="1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vertical="center" wrapText="1"/>
    </xf>
    <xf numFmtId="4" fontId="43" fillId="0" borderId="57" xfId="0" applyNumberFormat="1" applyFont="1" applyFill="1" applyBorder="1" applyAlignment="1">
      <alignment vertical="center" wrapText="1"/>
    </xf>
    <xf numFmtId="4" fontId="11" fillId="0" borderId="57" xfId="0" applyNumberFormat="1" applyFont="1" applyFill="1" applyBorder="1" applyAlignment="1">
      <alignment vertical="center"/>
    </xf>
    <xf numFmtId="4" fontId="43" fillId="0" borderId="57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10" fontId="9" fillId="0" borderId="57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/>
    </xf>
    <xf numFmtId="4" fontId="12" fillId="0" borderId="57" xfId="0" applyNumberFormat="1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4" fontId="12" fillId="0" borderId="57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24" fillId="0" borderId="57" xfId="1" applyFont="1" applyFill="1" applyBorder="1" applyAlignment="1" applyProtection="1">
      <alignment horizontal="left" vertical="center" wrapText="1"/>
      <protection locked="0"/>
    </xf>
    <xf numFmtId="49" fontId="11" fillId="0" borderId="57" xfId="0" applyNumberFormat="1" applyFont="1" applyFill="1" applyBorder="1" applyAlignment="1">
      <alignment horizontal="left" vertical="center" wrapText="1"/>
    </xf>
    <xf numFmtId="4" fontId="29" fillId="0" borderId="57" xfId="0" applyNumberFormat="1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vertical="center" wrapText="1"/>
    </xf>
    <xf numFmtId="0" fontId="22" fillId="0" borderId="57" xfId="0" applyFont="1" applyFill="1" applyBorder="1" applyAlignment="1">
      <alignment vertical="center" wrapText="1"/>
    </xf>
    <xf numFmtId="4" fontId="8" fillId="8" borderId="57" xfId="0" applyNumberFormat="1" applyFont="1" applyFill="1" applyBorder="1" applyAlignment="1">
      <alignment horizontal="right" vertical="center"/>
    </xf>
    <xf numFmtId="0" fontId="9" fillId="0" borderId="57" xfId="0" applyFont="1" applyFill="1" applyBorder="1"/>
    <xf numFmtId="164" fontId="9" fillId="0" borderId="57" xfId="0" applyNumberFormat="1" applyFont="1" applyFill="1" applyBorder="1" applyAlignment="1">
      <alignment horizontal="right" vertical="center" wrapText="1"/>
    </xf>
    <xf numFmtId="164" fontId="9" fillId="0" borderId="57" xfId="0" applyNumberFormat="1" applyFont="1" applyFill="1" applyBorder="1"/>
    <xf numFmtId="0" fontId="12" fillId="0" borderId="57" xfId="0" applyFont="1" applyFill="1" applyBorder="1" applyAlignment="1">
      <alignment horizontal="right" vertical="center" wrapText="1"/>
    </xf>
    <xf numFmtId="4" fontId="9" fillId="0" borderId="57" xfId="0" applyNumberFormat="1" applyFont="1" applyFill="1" applyBorder="1" applyAlignment="1">
      <alignment horizontal="right" vertical="center" wrapText="1"/>
    </xf>
    <xf numFmtId="4" fontId="12" fillId="0" borderId="57" xfId="0" applyNumberFormat="1" applyFont="1" applyFill="1" applyBorder="1" applyAlignment="1">
      <alignment horizontal="right" vertical="center" wrapText="1"/>
    </xf>
    <xf numFmtId="4" fontId="15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/>
    <xf numFmtId="4" fontId="30" fillId="0" borderId="5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20" fillId="8" borderId="31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" fontId="0" fillId="0" borderId="58" xfId="0" applyNumberFormat="1" applyBorder="1" applyAlignment="1">
      <alignment vertical="center"/>
    </xf>
    <xf numFmtId="0" fontId="0" fillId="8" borderId="58" xfId="0" applyFill="1" applyBorder="1" applyAlignment="1">
      <alignment vertical="center" wrapText="1"/>
    </xf>
    <xf numFmtId="0" fontId="0" fillId="8" borderId="58" xfId="0" applyFill="1" applyBorder="1" applyAlignment="1">
      <alignment vertical="center"/>
    </xf>
    <xf numFmtId="4" fontId="0" fillId="8" borderId="58" xfId="0" applyNumberFormat="1" applyFill="1" applyBorder="1" applyAlignment="1">
      <alignment vertical="center"/>
    </xf>
    <xf numFmtId="0" fontId="0" fillId="11" borderId="58" xfId="0" applyFill="1" applyBorder="1" applyAlignment="1">
      <alignment vertical="center" wrapText="1"/>
    </xf>
    <xf numFmtId="0" fontId="0" fillId="11" borderId="58" xfId="0" applyFill="1" applyBorder="1" applyAlignment="1">
      <alignment vertical="center"/>
    </xf>
    <xf numFmtId="4" fontId="0" fillId="11" borderId="58" xfId="0" applyNumberForma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vertical="center" wrapText="1"/>
    </xf>
    <xf numFmtId="4" fontId="6" fillId="3" borderId="58" xfId="0" applyNumberFormat="1" applyFont="1" applyFill="1" applyBorder="1" applyAlignment="1">
      <alignment vertical="center"/>
    </xf>
    <xf numFmtId="4" fontId="6" fillId="0" borderId="58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vertical="center" wrapText="1"/>
    </xf>
    <xf numFmtId="2" fontId="8" fillId="0" borderId="58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2" fontId="6" fillId="0" borderId="58" xfId="0" applyNumberFormat="1" applyFont="1" applyFill="1" applyBorder="1" applyAlignment="1">
      <alignment vertical="center"/>
    </xf>
    <xf numFmtId="2" fontId="8" fillId="9" borderId="58" xfId="0" applyNumberFormat="1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9" fillId="0" borderId="58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2" fontId="6" fillId="0" borderId="58" xfId="0" applyNumberFormat="1" applyFont="1" applyFill="1" applyBorder="1" applyAlignment="1">
      <alignment vertical="center" wrapText="1"/>
    </xf>
    <xf numFmtId="0" fontId="39" fillId="9" borderId="58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horizontal="center" vertical="center" wrapText="1"/>
    </xf>
    <xf numFmtId="4" fontId="39" fillId="9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1" fillId="3" borderId="58" xfId="0" applyFont="1" applyFill="1" applyBorder="1" applyAlignment="1">
      <alignment horizontal="center" vertical="center" wrapText="1"/>
    </xf>
    <xf numFmtId="4" fontId="53" fillId="3" borderId="31" xfId="0" applyNumberFormat="1" applyFont="1" applyFill="1" applyBorder="1" applyAlignment="1">
      <alignment vertical="center"/>
    </xf>
    <xf numFmtId="3" fontId="53" fillId="3" borderId="31" xfId="0" applyNumberFormat="1" applyFont="1" applyFill="1" applyBorder="1" applyAlignment="1">
      <alignment vertical="center"/>
    </xf>
    <xf numFmtId="164" fontId="40" fillId="11" borderId="31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vertical="center"/>
    </xf>
    <xf numFmtId="4" fontId="53" fillId="3" borderId="58" xfId="0" applyNumberFormat="1" applyFont="1" applyFill="1" applyBorder="1" applyAlignment="1">
      <alignment vertical="center"/>
    </xf>
    <xf numFmtId="4" fontId="53" fillId="0" borderId="1" xfId="0" applyNumberFormat="1" applyFont="1" applyFill="1" applyBorder="1" applyAlignment="1">
      <alignment vertical="center"/>
    </xf>
    <xf numFmtId="4" fontId="53" fillId="0" borderId="31" xfId="0" applyNumberFormat="1" applyFont="1" applyFill="1" applyBorder="1" applyAlignment="1">
      <alignment vertical="center"/>
    </xf>
    <xf numFmtId="2" fontId="53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4" fontId="43" fillId="0" borderId="1" xfId="0" applyNumberFormat="1" applyFont="1" applyFill="1" applyBorder="1" applyAlignment="1">
      <alignment vertical="center" wrapText="1"/>
    </xf>
    <xf numFmtId="9" fontId="9" fillId="0" borderId="0" xfId="0" applyNumberFormat="1" applyFont="1" applyFill="1"/>
    <xf numFmtId="10" fontId="9" fillId="0" borderId="0" xfId="0" applyNumberFormat="1" applyFont="1" applyFill="1"/>
    <xf numFmtId="0" fontId="0" fillId="0" borderId="0" xfId="0" applyAlignment="1">
      <alignment horizontal="left"/>
    </xf>
    <xf numFmtId="0" fontId="55" fillId="0" borderId="0" xfId="12" applyFont="1" applyAlignment="1">
      <alignment horizontal="left"/>
    </xf>
    <xf numFmtId="0" fontId="54" fillId="0" borderId="0" xfId="12" applyAlignment="1">
      <alignment horizontal="left"/>
    </xf>
    <xf numFmtId="0" fontId="54" fillId="0" borderId="0" xfId="12" applyAlignment="1">
      <alignment horizontal="left" vertical="top"/>
    </xf>
    <xf numFmtId="0" fontId="54" fillId="0" borderId="0" xfId="12"/>
    <xf numFmtId="0" fontId="56" fillId="14" borderId="64" xfId="12" applyFont="1" applyFill="1" applyBorder="1" applyAlignment="1">
      <alignment horizontal="left" vertical="top" wrapText="1"/>
    </xf>
    <xf numFmtId="0" fontId="56" fillId="14" borderId="65" xfId="12" applyFont="1" applyFill="1" applyBorder="1" applyAlignment="1">
      <alignment horizontal="left" vertical="top" wrapText="1"/>
    </xf>
    <xf numFmtId="0" fontId="56" fillId="14" borderId="63" xfId="12" applyFont="1" applyFill="1" applyBorder="1" applyAlignment="1">
      <alignment horizontal="left" vertical="top" wrapText="1"/>
    </xf>
    <xf numFmtId="0" fontId="56" fillId="14" borderId="63" xfId="12" applyFont="1" applyFill="1" applyBorder="1" applyAlignment="1">
      <alignment horizontal="center" vertical="top" wrapText="1"/>
    </xf>
    <xf numFmtId="0" fontId="56" fillId="14" borderId="66" xfId="12" applyFont="1" applyFill="1" applyBorder="1" applyAlignment="1">
      <alignment horizontal="left" vertical="top" wrapText="1"/>
    </xf>
    <xf numFmtId="0" fontId="56" fillId="15" borderId="67" xfId="12" applyFont="1" applyFill="1" applyBorder="1" applyAlignment="1">
      <alignment vertical="top"/>
    </xf>
    <xf numFmtId="0" fontId="56" fillId="15" borderId="68" xfId="12" applyFont="1" applyFill="1" applyBorder="1" applyAlignment="1">
      <alignment vertical="top" wrapText="1"/>
    </xf>
    <xf numFmtId="0" fontId="56" fillId="15" borderId="69" xfId="12" applyFont="1" applyFill="1" applyBorder="1" applyAlignment="1">
      <alignment vertical="top" wrapText="1"/>
    </xf>
    <xf numFmtId="4" fontId="56" fillId="15" borderId="70" xfId="12" applyNumberFormat="1" applyFont="1" applyFill="1" applyBorder="1" applyAlignment="1">
      <alignment horizontal="right" vertical="top"/>
    </xf>
    <xf numFmtId="175" fontId="56" fillId="15" borderId="70" xfId="12" applyNumberFormat="1" applyFont="1" applyFill="1" applyBorder="1" applyAlignment="1">
      <alignment horizontal="right" vertical="top"/>
    </xf>
    <xf numFmtId="10" fontId="56" fillId="15" borderId="70" xfId="12" applyNumberFormat="1" applyFont="1" applyFill="1" applyBorder="1" applyAlignment="1">
      <alignment horizontal="right" vertical="top"/>
    </xf>
    <xf numFmtId="4" fontId="57" fillId="16" borderId="70" xfId="12" applyNumberFormat="1" applyFont="1" applyFill="1" applyBorder="1" applyAlignment="1">
      <alignment horizontal="right" vertical="top"/>
    </xf>
    <xf numFmtId="175" fontId="57" fillId="16" borderId="70" xfId="12" applyNumberFormat="1" applyFont="1" applyFill="1" applyBorder="1" applyAlignment="1">
      <alignment horizontal="right" vertical="top"/>
    </xf>
    <xf numFmtId="4" fontId="54" fillId="16" borderId="70" xfId="12" applyNumberFormat="1" applyFill="1" applyBorder="1" applyAlignment="1">
      <alignment horizontal="right" vertical="top"/>
    </xf>
    <xf numFmtId="175" fontId="54" fillId="16" borderId="70" xfId="12" applyNumberFormat="1" applyFill="1" applyBorder="1" applyAlignment="1">
      <alignment horizontal="right" vertical="top"/>
    </xf>
    <xf numFmtId="4" fontId="54" fillId="0" borderId="70" xfId="12" applyNumberFormat="1" applyBorder="1" applyAlignment="1">
      <alignment horizontal="right" vertical="top"/>
    </xf>
    <xf numFmtId="175" fontId="54" fillId="0" borderId="70" xfId="12" applyNumberFormat="1" applyBorder="1" applyAlignment="1">
      <alignment horizontal="right" vertical="top"/>
    </xf>
    <xf numFmtId="0" fontId="54" fillId="0" borderId="70" xfId="12" applyBorder="1" applyAlignment="1">
      <alignment horizontal="right" vertical="top"/>
    </xf>
    <xf numFmtId="0" fontId="54" fillId="0" borderId="70" xfId="12" applyBorder="1" applyAlignment="1">
      <alignment horizontal="left" vertical="top" wrapText="1"/>
    </xf>
    <xf numFmtId="0" fontId="54" fillId="0" borderId="70" xfId="12" applyBorder="1" applyAlignment="1">
      <alignment horizontal="center" vertical="top" wrapText="1"/>
    </xf>
    <xf numFmtId="1" fontId="54" fillId="0" borderId="70" xfId="12" applyNumberFormat="1" applyBorder="1" applyAlignment="1">
      <alignment horizontal="center" vertical="top" wrapText="1"/>
    </xf>
    <xf numFmtId="165" fontId="54" fillId="0" borderId="70" xfId="12" applyNumberFormat="1" applyBorder="1" applyAlignment="1">
      <alignment horizontal="right" vertical="top" wrapText="1"/>
    </xf>
    <xf numFmtId="1" fontId="54" fillId="0" borderId="70" xfId="12" applyNumberFormat="1" applyBorder="1" applyAlignment="1">
      <alignment horizontal="right" vertical="top"/>
    </xf>
    <xf numFmtId="176" fontId="54" fillId="0" borderId="70" xfId="12" applyNumberFormat="1" applyBorder="1" applyAlignment="1">
      <alignment horizontal="right" vertical="top" wrapText="1"/>
    </xf>
    <xf numFmtId="4" fontId="54" fillId="0" borderId="0" xfId="12" applyNumberFormat="1"/>
    <xf numFmtId="3" fontId="54" fillId="0" borderId="70" xfId="12" applyNumberFormat="1" applyBorder="1" applyAlignment="1">
      <alignment horizontal="right" vertical="top"/>
    </xf>
    <xf numFmtId="4" fontId="56" fillId="14" borderId="63" xfId="12" applyNumberFormat="1" applyFont="1" applyFill="1" applyBorder="1" applyAlignment="1">
      <alignment horizontal="right" vertical="top"/>
    </xf>
    <xf numFmtId="175" fontId="56" fillId="14" borderId="63" xfId="12" applyNumberFormat="1" applyFont="1" applyFill="1" applyBorder="1" applyAlignment="1">
      <alignment horizontal="right" vertical="top"/>
    </xf>
    <xf numFmtId="4" fontId="54" fillId="0" borderId="0" xfId="12" applyNumberFormat="1" applyAlignment="1">
      <alignment horizontal="left"/>
    </xf>
    <xf numFmtId="4" fontId="54" fillId="0" borderId="0" xfId="12" applyNumberFormat="1" applyAlignment="1">
      <alignment horizontal="right"/>
    </xf>
    <xf numFmtId="164" fontId="53" fillId="3" borderId="31" xfId="0" applyNumberFormat="1" applyFont="1" applyFill="1" applyBorder="1" applyAlignment="1">
      <alignment vertical="center"/>
    </xf>
    <xf numFmtId="164" fontId="6" fillId="3" borderId="31" xfId="0" applyNumberFormat="1" applyFont="1" applyFill="1" applyBorder="1" applyAlignment="1">
      <alignment vertical="center"/>
    </xf>
    <xf numFmtId="164" fontId="53" fillId="0" borderId="58" xfId="0" applyNumberFormat="1" applyFont="1" applyFill="1" applyBorder="1" applyAlignment="1">
      <alignment vertical="center"/>
    </xf>
    <xf numFmtId="164" fontId="6" fillId="0" borderId="58" xfId="0" applyNumberFormat="1" applyFont="1" applyFill="1" applyBorder="1" applyAlignment="1">
      <alignment vertical="center"/>
    </xf>
    <xf numFmtId="164" fontId="53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53" fillId="0" borderId="31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58" xfId="0" applyFont="1" applyBorder="1" applyAlignment="1">
      <alignment vertical="center" wrapText="1"/>
    </xf>
    <xf numFmtId="4" fontId="9" fillId="0" borderId="58" xfId="0" applyNumberFormat="1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167" fontId="6" fillId="3" borderId="31" xfId="0" applyNumberFormat="1" applyFont="1" applyFill="1" applyBorder="1" applyAlignment="1">
      <alignment vertical="center"/>
    </xf>
    <xf numFmtId="4" fontId="6" fillId="0" borderId="58" xfId="0" applyNumberFormat="1" applyFont="1" applyBorder="1" applyAlignment="1">
      <alignment vertical="center"/>
    </xf>
    <xf numFmtId="167" fontId="6" fillId="0" borderId="58" xfId="0" applyNumberFormat="1" applyFont="1" applyFill="1" applyBorder="1" applyAlignment="1">
      <alignment vertical="center"/>
    </xf>
    <xf numFmtId="0" fontId="0" fillId="0" borderId="58" xfId="0" applyBorder="1" applyAlignment="1">
      <alignment horizontal="right" vertical="center" wrapText="1"/>
    </xf>
    <xf numFmtId="0" fontId="0" fillId="12" borderId="58" xfId="0" applyFill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8" borderId="58" xfId="0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9" fillId="0" borderId="35" xfId="0" applyNumberFormat="1" applyFont="1" applyBorder="1" applyAlignment="1">
      <alignment vertical="center"/>
    </xf>
    <xf numFmtId="4" fontId="9" fillId="0" borderId="62" xfId="0" applyNumberFormat="1" applyFont="1" applyBorder="1" applyAlignment="1">
      <alignment vertical="center"/>
    </xf>
    <xf numFmtId="0" fontId="20" fillId="8" borderId="32" xfId="0" applyFont="1" applyFill="1" applyBorder="1" applyAlignment="1">
      <alignment vertical="center" wrapText="1"/>
    </xf>
    <xf numFmtId="0" fontId="20" fillId="8" borderId="61" xfId="0" applyFont="1" applyFill="1" applyBorder="1" applyAlignment="1">
      <alignment vertical="center" wrapText="1"/>
    </xf>
    <xf numFmtId="0" fontId="9" fillId="8" borderId="61" xfId="0" applyFont="1" applyFill="1" applyBorder="1" applyAlignment="1">
      <alignment horizontal="center" vertical="center"/>
    </xf>
    <xf numFmtId="0" fontId="9" fillId="8" borderId="62" xfId="0" applyFont="1" applyFill="1" applyBorder="1" applyAlignment="1">
      <alignment vertical="center"/>
    </xf>
    <xf numFmtId="4" fontId="9" fillId="8" borderId="32" xfId="0" applyNumberFormat="1" applyFont="1" applyFill="1" applyBorder="1" applyAlignment="1">
      <alignment vertical="center"/>
    </xf>
    <xf numFmtId="0" fontId="9" fillId="8" borderId="61" xfId="0" applyFont="1" applyFill="1" applyBorder="1" applyAlignment="1">
      <alignment vertical="center"/>
    </xf>
    <xf numFmtId="0" fontId="13" fillId="8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9" fillId="0" borderId="62" xfId="0" applyFont="1" applyBorder="1" applyAlignment="1">
      <alignment horizontal="center" vertical="center"/>
    </xf>
    <xf numFmtId="0" fontId="7" fillId="8" borderId="62" xfId="0" applyFont="1" applyFill="1" applyBorder="1" applyAlignment="1">
      <alignment vertical="center" wrapText="1"/>
    </xf>
    <xf numFmtId="4" fontId="9" fillId="17" borderId="62" xfId="0" applyNumberFormat="1" applyFont="1" applyFill="1" applyBorder="1" applyAlignment="1">
      <alignment vertical="center"/>
    </xf>
    <xf numFmtId="4" fontId="9" fillId="17" borderId="1" xfId="0" applyNumberFormat="1" applyFont="1" applyFill="1" applyBorder="1" applyAlignment="1">
      <alignment vertical="center"/>
    </xf>
    <xf numFmtId="0" fontId="9" fillId="0" borderId="58" xfId="0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20" fillId="11" borderId="62" xfId="0" applyNumberFormat="1" applyFont="1" applyFill="1" applyBorder="1" applyAlignment="1">
      <alignment vertical="center"/>
    </xf>
    <xf numFmtId="4" fontId="20" fillId="11" borderId="1" xfId="0" applyNumberFormat="1" applyFont="1" applyFill="1" applyBorder="1" applyAlignment="1">
      <alignment vertical="center"/>
    </xf>
    <xf numFmtId="4" fontId="9" fillId="17" borderId="58" xfId="0" applyNumberFormat="1" applyFont="1" applyFill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5" fillId="0" borderId="58" xfId="0" applyFont="1" applyFill="1" applyBorder="1" applyAlignment="1">
      <alignment vertical="center" wrapText="1"/>
    </xf>
    <xf numFmtId="0" fontId="15" fillId="10" borderId="58" xfId="0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vertical="center"/>
    </xf>
    <xf numFmtId="3" fontId="6" fillId="10" borderId="58" xfId="0" applyNumberFormat="1" applyFont="1" applyFill="1" applyBorder="1" applyAlignment="1">
      <alignment horizontal="center" vertical="center"/>
    </xf>
    <xf numFmtId="3" fontId="0" fillId="10" borderId="58" xfId="0" applyNumberFormat="1" applyFill="1" applyBorder="1" applyAlignment="1">
      <alignment vertical="center"/>
    </xf>
    <xf numFmtId="0" fontId="0" fillId="10" borderId="58" xfId="0" applyFill="1" applyBorder="1" applyAlignment="1">
      <alignment vertical="center"/>
    </xf>
    <xf numFmtId="4" fontId="0" fillId="0" borderId="58" xfId="0" applyNumberFormat="1" applyFill="1" applyBorder="1" applyAlignment="1">
      <alignment vertical="center"/>
    </xf>
    <xf numFmtId="0" fontId="11" fillId="10" borderId="5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/>
    </xf>
    <xf numFmtId="2" fontId="0" fillId="8" borderId="58" xfId="0" applyNumberFormat="1" applyFill="1" applyBorder="1" applyAlignment="1">
      <alignment vertical="center"/>
    </xf>
    <xf numFmtId="3" fontId="6" fillId="10" borderId="58" xfId="0" applyNumberFormat="1" applyFont="1" applyFill="1" applyBorder="1" applyAlignment="1">
      <alignment horizontal="right" vertical="center"/>
    </xf>
    <xf numFmtId="3" fontId="6" fillId="11" borderId="58" xfId="0" applyNumberFormat="1" applyFont="1" applyFill="1" applyBorder="1" applyAlignment="1">
      <alignment horizontal="center" vertical="center"/>
    </xf>
    <xf numFmtId="0" fontId="15" fillId="10" borderId="58" xfId="0" applyFont="1" applyFill="1" applyBorder="1" applyAlignment="1">
      <alignment vertical="center" wrapText="1"/>
    </xf>
    <xf numFmtId="2" fontId="0" fillId="0" borderId="58" xfId="0" applyNumberFormat="1" applyBorder="1" applyAlignment="1">
      <alignment vertical="center"/>
    </xf>
    <xf numFmtId="0" fontId="11" fillId="0" borderId="58" xfId="0" applyFont="1" applyBorder="1" applyAlignment="1">
      <alignment horizontal="center" vertical="center" wrapText="1"/>
    </xf>
    <xf numFmtId="0" fontId="26" fillId="8" borderId="58" xfId="0" applyFont="1" applyFill="1" applyBorder="1" applyAlignment="1">
      <alignment horizontal="center" vertical="center" wrapText="1"/>
    </xf>
    <xf numFmtId="3" fontId="27" fillId="0" borderId="58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0" fontId="40" fillId="0" borderId="58" xfId="0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167" fontId="6" fillId="0" borderId="31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168" fontId="6" fillId="0" borderId="58" xfId="0" applyNumberFormat="1" applyFont="1" applyFill="1" applyBorder="1" applyAlignment="1">
      <alignment vertical="center"/>
    </xf>
    <xf numFmtId="172" fontId="6" fillId="3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2" fontId="8" fillId="8" borderId="58" xfId="0" applyNumberFormat="1" applyFont="1" applyFill="1" applyBorder="1" applyAlignment="1">
      <alignment vertical="center"/>
    </xf>
    <xf numFmtId="0" fontId="58" fillId="0" borderId="0" xfId="13" applyFont="1" applyFill="1" applyAlignment="1">
      <alignment vertical="center"/>
    </xf>
    <xf numFmtId="0" fontId="58" fillId="3" borderId="0" xfId="13" applyFont="1" applyFill="1" applyAlignment="1">
      <alignment vertical="center"/>
    </xf>
    <xf numFmtId="0" fontId="59" fillId="0" borderId="0" xfId="13" applyFont="1" applyFill="1" applyAlignment="1">
      <alignment vertical="center"/>
    </xf>
    <xf numFmtId="4" fontId="58" fillId="0" borderId="0" xfId="13" applyNumberFormat="1" applyFont="1" applyFill="1" applyAlignment="1">
      <alignment vertical="center"/>
    </xf>
    <xf numFmtId="0" fontId="60" fillId="0" borderId="0" xfId="13" applyFont="1" applyFill="1" applyAlignment="1">
      <alignment vertical="center"/>
    </xf>
    <xf numFmtId="0" fontId="61" fillId="0" borderId="0" xfId="13" applyFont="1" applyFill="1" applyAlignment="1">
      <alignment vertical="center"/>
    </xf>
    <xf numFmtId="0" fontId="62" fillId="0" borderId="0" xfId="13" applyFont="1" applyFill="1" applyAlignment="1">
      <alignment vertical="center"/>
    </xf>
    <xf numFmtId="0" fontId="58" fillId="0" borderId="0" xfId="13" applyFont="1" applyFill="1" applyAlignment="1">
      <alignment horizontal="right" vertical="center"/>
    </xf>
    <xf numFmtId="0" fontId="63" fillId="0" borderId="0" xfId="13" applyFont="1" applyFill="1" applyAlignment="1">
      <alignment vertical="center"/>
    </xf>
    <xf numFmtId="0" fontId="58" fillId="0" borderId="58" xfId="13" applyFont="1" applyFill="1" applyBorder="1" applyAlignment="1">
      <alignment vertical="center" wrapText="1"/>
    </xf>
    <xf numFmtId="0" fontId="58" fillId="0" borderId="58" xfId="13" applyFont="1" applyFill="1" applyBorder="1" applyAlignment="1">
      <alignment vertical="center"/>
    </xf>
    <xf numFmtId="14" fontId="58" fillId="0" borderId="58" xfId="13" applyNumberFormat="1" applyFont="1" applyFill="1" applyBorder="1" applyAlignment="1">
      <alignment vertical="center"/>
    </xf>
    <xf numFmtId="0" fontId="67" fillId="0" borderId="0" xfId="13" applyFont="1" applyFill="1" applyAlignment="1">
      <alignment vertical="center"/>
    </xf>
    <xf numFmtId="0" fontId="68" fillId="0" borderId="0" xfId="13" applyFont="1" applyFill="1" applyAlignment="1">
      <alignment vertical="center"/>
    </xf>
    <xf numFmtId="0" fontId="67" fillId="3" borderId="0" xfId="13" applyFont="1" applyFill="1" applyAlignment="1">
      <alignment vertical="center"/>
    </xf>
    <xf numFmtId="4" fontId="67" fillId="0" borderId="0" xfId="13" applyNumberFormat="1" applyFont="1" applyFill="1" applyAlignment="1">
      <alignment vertical="center"/>
    </xf>
    <xf numFmtId="49" fontId="68" fillId="0" borderId="71" xfId="13" applyNumberFormat="1" applyFont="1" applyFill="1" applyBorder="1" applyAlignment="1">
      <alignment horizontal="center" vertical="center" wrapText="1"/>
    </xf>
    <xf numFmtId="49" fontId="68" fillId="0" borderId="0" xfId="13" applyNumberFormat="1" applyFont="1" applyFill="1" applyAlignment="1">
      <alignment horizontal="center" vertical="center" wrapText="1"/>
    </xf>
    <xf numFmtId="49" fontId="68" fillId="0" borderId="0" xfId="13" applyNumberFormat="1" applyFont="1" applyFill="1" applyAlignment="1">
      <alignment horizontal="left" vertical="center"/>
    </xf>
    <xf numFmtId="0" fontId="1" fillId="0" borderId="6" xfId="13" applyBorder="1" applyAlignment="1">
      <alignment horizontal="center" vertical="center" wrapText="1"/>
    </xf>
    <xf numFmtId="49" fontId="68" fillId="0" borderId="6" xfId="13" applyNumberFormat="1" applyFont="1" applyFill="1" applyBorder="1" applyAlignment="1">
      <alignment horizontal="center" vertical="center" wrapText="1"/>
    </xf>
    <xf numFmtId="49" fontId="68" fillId="0" borderId="58" xfId="13" applyNumberFormat="1" applyFont="1" applyFill="1" applyBorder="1" applyAlignment="1">
      <alignment horizontal="center" vertical="center" wrapText="1"/>
    </xf>
    <xf numFmtId="0" fontId="1" fillId="0" borderId="35" xfId="13" applyBorder="1" applyAlignment="1">
      <alignment horizontal="center" vertical="center" wrapText="1"/>
    </xf>
    <xf numFmtId="49" fontId="68" fillId="0" borderId="35" xfId="13" applyNumberFormat="1" applyFont="1" applyFill="1" applyBorder="1" applyAlignment="1">
      <alignment horizontal="center" vertical="center" wrapText="1"/>
    </xf>
    <xf numFmtId="0" fontId="68" fillId="0" borderId="0" xfId="13" applyFont="1" applyFill="1" applyAlignment="1">
      <alignment horizontal="left" vertical="center"/>
    </xf>
    <xf numFmtId="49" fontId="71" fillId="0" borderId="71" xfId="13" applyNumberFormat="1" applyFont="1" applyFill="1" applyBorder="1" applyAlignment="1">
      <alignment horizontal="center" vertical="center" wrapText="1"/>
    </xf>
    <xf numFmtId="49" fontId="71" fillId="0" borderId="72" xfId="13" applyNumberFormat="1" applyFont="1" applyFill="1" applyBorder="1" applyAlignment="1">
      <alignment horizontal="center" vertical="center" wrapText="1"/>
    </xf>
    <xf numFmtId="49" fontId="71" fillId="3" borderId="72" xfId="13" applyNumberFormat="1" applyFont="1" applyFill="1" applyBorder="1" applyAlignment="1">
      <alignment horizontal="center" vertical="center" wrapText="1"/>
    </xf>
    <xf numFmtId="4" fontId="71" fillId="0" borderId="71" xfId="13" applyNumberFormat="1" applyFont="1" applyFill="1" applyBorder="1" applyAlignment="1">
      <alignment horizontal="center" vertical="center"/>
    </xf>
    <xf numFmtId="0" fontId="71" fillId="0" borderId="0" xfId="13" applyFont="1" applyFill="1" applyAlignment="1">
      <alignment horizontal="center" vertical="center"/>
    </xf>
    <xf numFmtId="0" fontId="68" fillId="0" borderId="58" xfId="13" applyFont="1" applyFill="1" applyBorder="1" applyAlignment="1">
      <alignment vertical="center"/>
    </xf>
    <xf numFmtId="49" fontId="70" fillId="0" borderId="58" xfId="13" applyNumberFormat="1" applyFont="1" applyFill="1" applyBorder="1" applyAlignment="1">
      <alignment horizontal="left" vertical="center" wrapText="1"/>
    </xf>
    <xf numFmtId="1" fontId="68" fillId="0" borderId="58" xfId="13" applyNumberFormat="1" applyFont="1" applyFill="1" applyBorder="1" applyAlignment="1">
      <alignment horizontal="center" vertical="center"/>
    </xf>
    <xf numFmtId="49" fontId="68" fillId="0" borderId="58" xfId="13" applyNumberFormat="1" applyFont="1" applyFill="1" applyBorder="1" applyAlignment="1">
      <alignment horizontal="center" vertical="center"/>
    </xf>
    <xf numFmtId="4" fontId="68" fillId="0" borderId="58" xfId="13" applyNumberFormat="1" applyFont="1" applyFill="1" applyBorder="1" applyAlignment="1">
      <alignment horizontal="right" vertical="center"/>
    </xf>
    <xf numFmtId="4" fontId="68" fillId="3" borderId="58" xfId="13" applyNumberFormat="1" applyFont="1" applyFill="1" applyBorder="1" applyAlignment="1">
      <alignment horizontal="right" vertical="center"/>
    </xf>
    <xf numFmtId="3" fontId="68" fillId="0" borderId="58" xfId="13" applyNumberFormat="1" applyFont="1" applyFill="1" applyBorder="1" applyAlignment="1">
      <alignment horizontal="right" vertical="center"/>
    </xf>
    <xf numFmtId="3" fontId="68" fillId="0" borderId="58" xfId="13" applyNumberFormat="1" applyFont="1" applyFill="1" applyBorder="1" applyAlignment="1">
      <alignment horizontal="right" vertical="center" wrapText="1"/>
    </xf>
    <xf numFmtId="4" fontId="68" fillId="0" borderId="58" xfId="13" applyNumberFormat="1" applyFont="1" applyFill="1" applyBorder="1" applyAlignment="1">
      <alignment horizontal="right" vertical="center" wrapText="1"/>
    </xf>
    <xf numFmtId="4" fontId="68" fillId="3" borderId="58" xfId="13" applyNumberFormat="1" applyFont="1" applyFill="1" applyBorder="1" applyAlignment="1">
      <alignment horizontal="right" vertical="center" wrapText="1"/>
    </xf>
    <xf numFmtId="4" fontId="68" fillId="0" borderId="58" xfId="13" applyNumberFormat="1" applyFont="1" applyFill="1" applyBorder="1" applyAlignment="1">
      <alignment vertical="center"/>
    </xf>
    <xf numFmtId="49" fontId="68" fillId="3" borderId="71" xfId="13" applyNumberFormat="1" applyFont="1" applyFill="1" applyBorder="1" applyAlignment="1">
      <alignment horizontal="center" vertical="center" wrapText="1"/>
    </xf>
    <xf numFmtId="0" fontId="68" fillId="3" borderId="71" xfId="13" applyFont="1" applyFill="1" applyBorder="1" applyAlignment="1">
      <alignment vertical="center"/>
    </xf>
    <xf numFmtId="49" fontId="70" fillId="3" borderId="71" xfId="13" applyNumberFormat="1" applyFont="1" applyFill="1" applyBorder="1" applyAlignment="1">
      <alignment horizontal="left" vertical="center" wrapText="1"/>
    </xf>
    <xf numFmtId="1" fontId="68" fillId="3" borderId="71" xfId="13" applyNumberFormat="1" applyFont="1" applyFill="1" applyBorder="1" applyAlignment="1">
      <alignment horizontal="center" vertical="center"/>
    </xf>
    <xf numFmtId="49" fontId="68" fillId="3" borderId="71" xfId="13" applyNumberFormat="1" applyFont="1" applyFill="1" applyBorder="1" applyAlignment="1">
      <alignment horizontal="center" vertical="center"/>
    </xf>
    <xf numFmtId="4" fontId="68" fillId="3" borderId="71" xfId="13" applyNumberFormat="1" applyFont="1" applyFill="1" applyBorder="1" applyAlignment="1">
      <alignment horizontal="right" vertical="center"/>
    </xf>
    <xf numFmtId="4" fontId="68" fillId="0" borderId="71" xfId="13" applyNumberFormat="1" applyFont="1" applyFill="1" applyBorder="1" applyAlignment="1">
      <alignment horizontal="right" vertical="center"/>
    </xf>
    <xf numFmtId="3" fontId="68" fillId="3" borderId="71" xfId="13" applyNumberFormat="1" applyFont="1" applyFill="1" applyBorder="1" applyAlignment="1">
      <alignment horizontal="right" vertical="center"/>
    </xf>
    <xf numFmtId="3" fontId="68" fillId="3" borderId="71" xfId="13" applyNumberFormat="1" applyFont="1" applyFill="1" applyBorder="1" applyAlignment="1">
      <alignment horizontal="right" vertical="center" wrapText="1"/>
    </xf>
    <xf numFmtId="4" fontId="68" fillId="0" borderId="71" xfId="13" applyNumberFormat="1" applyFont="1" applyFill="1" applyBorder="1" applyAlignment="1">
      <alignment horizontal="right" vertical="center" wrapText="1"/>
    </xf>
    <xf numFmtId="4" fontId="68" fillId="3" borderId="71" xfId="13" applyNumberFormat="1" applyFont="1" applyFill="1" applyBorder="1" applyAlignment="1">
      <alignment horizontal="right" vertical="center" wrapText="1"/>
    </xf>
    <xf numFmtId="4" fontId="68" fillId="3" borderId="71" xfId="13" applyNumberFormat="1" applyFont="1" applyFill="1" applyBorder="1" applyAlignment="1">
      <alignment vertical="center"/>
    </xf>
    <xf numFmtId="0" fontId="68" fillId="0" borderId="71" xfId="13" applyFont="1" applyFill="1" applyBorder="1" applyAlignment="1">
      <alignment vertical="center"/>
    </xf>
    <xf numFmtId="49" fontId="68" fillId="18" borderId="26" xfId="13" applyNumberFormat="1" applyFont="1" applyFill="1" applyBorder="1" applyAlignment="1">
      <alignment horizontal="center" vertical="center" wrapText="1"/>
    </xf>
    <xf numFmtId="0" fontId="68" fillId="18" borderId="37" xfId="13" applyFont="1" applyFill="1" applyBorder="1" applyAlignment="1">
      <alignment vertical="center"/>
    </xf>
    <xf numFmtId="49" fontId="70" fillId="18" borderId="37" xfId="13" applyNumberFormat="1" applyFont="1" applyFill="1" applyBorder="1" applyAlignment="1">
      <alignment horizontal="left" vertical="center" wrapText="1"/>
    </xf>
    <xf numFmtId="1" fontId="68" fillId="3" borderId="37" xfId="13" applyNumberFormat="1" applyFont="1" applyFill="1" applyBorder="1" applyAlignment="1">
      <alignment horizontal="center" vertical="center"/>
    </xf>
    <xf numFmtId="49" fontId="68" fillId="3" borderId="37" xfId="13" applyNumberFormat="1" applyFont="1" applyFill="1" applyBorder="1" applyAlignment="1">
      <alignment horizontal="center" vertical="center"/>
    </xf>
    <xf numFmtId="49" fontId="68" fillId="3" borderId="37" xfId="13" applyNumberFormat="1" applyFont="1" applyFill="1" applyBorder="1" applyAlignment="1">
      <alignment horizontal="left" vertical="center"/>
    </xf>
    <xf numFmtId="4" fontId="68" fillId="3" borderId="37" xfId="13" applyNumberFormat="1" applyFont="1" applyFill="1" applyBorder="1" applyAlignment="1">
      <alignment horizontal="right" vertical="center"/>
    </xf>
    <xf numFmtId="4" fontId="68" fillId="0" borderId="37" xfId="13" applyNumberFormat="1" applyFont="1" applyFill="1" applyBorder="1" applyAlignment="1">
      <alignment horizontal="right" vertical="center"/>
    </xf>
    <xf numFmtId="3" fontId="68" fillId="3" borderId="37" xfId="13" applyNumberFormat="1" applyFont="1" applyFill="1" applyBorder="1" applyAlignment="1">
      <alignment horizontal="right" vertical="center"/>
    </xf>
    <xf numFmtId="3" fontId="68" fillId="3" borderId="37" xfId="13" applyNumberFormat="1" applyFont="1" applyFill="1" applyBorder="1" applyAlignment="1">
      <alignment horizontal="right" vertical="center" wrapText="1"/>
    </xf>
    <xf numFmtId="4" fontId="68" fillId="0" borderId="37" xfId="13" applyNumberFormat="1" applyFont="1" applyFill="1" applyBorder="1" applyAlignment="1">
      <alignment horizontal="right" vertical="center" wrapText="1"/>
    </xf>
    <xf numFmtId="4" fontId="68" fillId="3" borderId="37" xfId="13" applyNumberFormat="1" applyFont="1" applyFill="1" applyBorder="1" applyAlignment="1">
      <alignment horizontal="right" vertical="center" wrapText="1"/>
    </xf>
    <xf numFmtId="4" fontId="68" fillId="3" borderId="37" xfId="13" applyNumberFormat="1" applyFont="1" applyFill="1" applyBorder="1" applyAlignment="1">
      <alignment vertical="center"/>
    </xf>
    <xf numFmtId="0" fontId="68" fillId="0" borderId="55" xfId="13" applyFont="1" applyFill="1" applyBorder="1" applyAlignment="1">
      <alignment vertical="center"/>
    </xf>
    <xf numFmtId="0" fontId="68" fillId="0" borderId="38" xfId="13" applyFont="1" applyFill="1" applyBorder="1" applyAlignment="1">
      <alignment vertical="center"/>
    </xf>
    <xf numFmtId="49" fontId="68" fillId="11" borderId="28" xfId="13" applyNumberFormat="1" applyFont="1" applyFill="1" applyBorder="1" applyAlignment="1">
      <alignment horizontal="center" vertical="center" wrapText="1"/>
    </xf>
    <xf numFmtId="0" fontId="68" fillId="11" borderId="41" xfId="13" applyFont="1" applyFill="1" applyBorder="1" applyAlignment="1">
      <alignment vertical="center"/>
    </xf>
    <xf numFmtId="49" fontId="70" fillId="11" borderId="41" xfId="13" applyNumberFormat="1" applyFont="1" applyFill="1" applyBorder="1" applyAlignment="1">
      <alignment horizontal="left" vertical="center" wrapText="1"/>
    </xf>
    <xf numFmtId="1" fontId="68" fillId="3" borderId="41" xfId="13" applyNumberFormat="1" applyFont="1" applyFill="1" applyBorder="1" applyAlignment="1">
      <alignment horizontal="center" vertical="center"/>
    </xf>
    <xf numFmtId="49" fontId="68" fillId="3" borderId="41" xfId="13" applyNumberFormat="1" applyFont="1" applyFill="1" applyBorder="1" applyAlignment="1">
      <alignment horizontal="center" vertical="center"/>
    </xf>
    <xf numFmtId="4" fontId="68" fillId="3" borderId="41" xfId="13" applyNumberFormat="1" applyFont="1" applyFill="1" applyBorder="1" applyAlignment="1">
      <alignment horizontal="right" vertical="center"/>
    </xf>
    <xf numFmtId="4" fontId="68" fillId="0" borderId="41" xfId="13" applyNumberFormat="1" applyFont="1" applyFill="1" applyBorder="1" applyAlignment="1">
      <alignment horizontal="right" vertical="center"/>
    </xf>
    <xf numFmtId="3" fontId="68" fillId="3" borderId="41" xfId="13" applyNumberFormat="1" applyFont="1" applyFill="1" applyBorder="1" applyAlignment="1">
      <alignment horizontal="right" vertical="center"/>
    </xf>
    <xf numFmtId="3" fontId="68" fillId="3" borderId="41" xfId="13" applyNumberFormat="1" applyFont="1" applyFill="1" applyBorder="1" applyAlignment="1">
      <alignment horizontal="right" vertical="center" wrapText="1"/>
    </xf>
    <xf numFmtId="4" fontId="68" fillId="0" borderId="41" xfId="13" applyNumberFormat="1" applyFont="1" applyFill="1" applyBorder="1" applyAlignment="1">
      <alignment horizontal="right" vertical="center" wrapText="1"/>
    </xf>
    <xf numFmtId="4" fontId="68" fillId="3" borderId="41" xfId="13" applyNumberFormat="1" applyFont="1" applyFill="1" applyBorder="1" applyAlignment="1">
      <alignment horizontal="right" vertical="center" wrapText="1"/>
    </xf>
    <xf numFmtId="4" fontId="68" fillId="3" borderId="41" xfId="13" applyNumberFormat="1" applyFont="1" applyFill="1" applyBorder="1" applyAlignment="1">
      <alignment vertical="center"/>
    </xf>
    <xf numFmtId="0" fontId="68" fillId="0" borderId="56" xfId="13" applyFont="1" applyFill="1" applyBorder="1" applyAlignment="1">
      <alignment vertical="center"/>
    </xf>
    <xf numFmtId="0" fontId="68" fillId="0" borderId="42" xfId="13" applyFont="1" applyFill="1" applyBorder="1" applyAlignment="1">
      <alignment vertical="center"/>
    </xf>
    <xf numFmtId="0" fontId="68" fillId="3" borderId="35" xfId="13" applyFont="1" applyFill="1" applyBorder="1" applyAlignment="1">
      <alignment vertical="center"/>
    </xf>
    <xf numFmtId="49" fontId="70" fillId="3" borderId="35" xfId="13" applyNumberFormat="1" applyFont="1" applyFill="1" applyBorder="1" applyAlignment="1">
      <alignment horizontal="left" vertical="center" wrapText="1"/>
    </xf>
    <xf numFmtId="1" fontId="68" fillId="3" borderId="35" xfId="13" applyNumberFormat="1" applyFont="1" applyFill="1" applyBorder="1" applyAlignment="1">
      <alignment horizontal="center" vertical="center"/>
    </xf>
    <xf numFmtId="49" fontId="68" fillId="3" borderId="35" xfId="13" applyNumberFormat="1" applyFont="1" applyFill="1" applyBorder="1" applyAlignment="1">
      <alignment horizontal="center" vertical="center"/>
    </xf>
    <xf numFmtId="0" fontId="58" fillId="0" borderId="58" xfId="14" applyFont="1" applyFill="1" applyBorder="1" applyAlignment="1">
      <alignment vertical="center"/>
    </xf>
    <xf numFmtId="4" fontId="68" fillId="3" borderId="35" xfId="13" applyNumberFormat="1" applyFont="1" applyFill="1" applyBorder="1" applyAlignment="1">
      <alignment horizontal="right" vertical="center"/>
    </xf>
    <xf numFmtId="4" fontId="68" fillId="0" borderId="35" xfId="13" applyNumberFormat="1" applyFont="1" applyFill="1" applyBorder="1" applyAlignment="1">
      <alignment horizontal="right" vertical="center"/>
    </xf>
    <xf numFmtId="3" fontId="68" fillId="3" borderId="35" xfId="13" applyNumberFormat="1" applyFont="1" applyFill="1" applyBorder="1" applyAlignment="1">
      <alignment horizontal="right" vertical="center"/>
    </xf>
    <xf numFmtId="3" fontId="68" fillId="3" borderId="35" xfId="13" applyNumberFormat="1" applyFont="1" applyFill="1" applyBorder="1" applyAlignment="1">
      <alignment horizontal="right" vertical="center" wrapText="1"/>
    </xf>
    <xf numFmtId="4" fontId="68" fillId="0" borderId="35" xfId="13" applyNumberFormat="1" applyFont="1" applyFill="1" applyBorder="1" applyAlignment="1">
      <alignment horizontal="right" vertical="center" wrapText="1"/>
    </xf>
    <xf numFmtId="4" fontId="68" fillId="3" borderId="35" xfId="13" applyNumberFormat="1" applyFont="1" applyFill="1" applyBorder="1" applyAlignment="1">
      <alignment horizontal="right" vertical="center" wrapText="1"/>
    </xf>
    <xf numFmtId="4" fontId="68" fillId="3" borderId="35" xfId="13" applyNumberFormat="1" applyFont="1" applyFill="1" applyBorder="1" applyAlignment="1">
      <alignment vertical="center"/>
    </xf>
    <xf numFmtId="0" fontId="68" fillId="0" borderId="35" xfId="13" applyFont="1" applyFill="1" applyBorder="1" applyAlignment="1">
      <alignment vertical="center"/>
    </xf>
    <xf numFmtId="49" fontId="68" fillId="0" borderId="0" xfId="13" applyNumberFormat="1" applyFont="1" applyFill="1" applyAlignment="1">
      <alignment vertical="center"/>
    </xf>
    <xf numFmtId="0" fontId="68" fillId="3" borderId="58" xfId="13" applyFont="1" applyFill="1" applyBorder="1" applyAlignment="1">
      <alignment vertical="center"/>
    </xf>
    <xf numFmtId="49" fontId="70" fillId="3" borderId="58" xfId="13" applyNumberFormat="1" applyFont="1" applyFill="1" applyBorder="1" applyAlignment="1">
      <alignment horizontal="left" vertical="center" wrapText="1"/>
    </xf>
    <xf numFmtId="1" fontId="68" fillId="3" borderId="58" xfId="13" applyNumberFormat="1" applyFont="1" applyFill="1" applyBorder="1" applyAlignment="1">
      <alignment horizontal="center" vertical="center"/>
    </xf>
    <xf numFmtId="49" fontId="68" fillId="3" borderId="58" xfId="13" applyNumberFormat="1" applyFont="1" applyFill="1" applyBorder="1" applyAlignment="1">
      <alignment horizontal="center" vertical="center"/>
    </xf>
    <xf numFmtId="3" fontId="68" fillId="3" borderId="58" xfId="13" applyNumberFormat="1" applyFont="1" applyFill="1" applyBorder="1" applyAlignment="1">
      <alignment horizontal="right" vertical="center"/>
    </xf>
    <xf numFmtId="3" fontId="68" fillId="3" borderId="58" xfId="13" applyNumberFormat="1" applyFont="1" applyFill="1" applyBorder="1" applyAlignment="1">
      <alignment horizontal="right" vertical="center" wrapText="1"/>
    </xf>
    <xf numFmtId="4" fontId="68" fillId="3" borderId="58" xfId="13" applyNumberFormat="1" applyFont="1" applyFill="1" applyBorder="1" applyAlignment="1">
      <alignment vertical="center"/>
    </xf>
    <xf numFmtId="4" fontId="68" fillId="0" borderId="0" xfId="13" applyNumberFormat="1" applyFont="1" applyFill="1" applyAlignment="1">
      <alignment vertical="center"/>
    </xf>
    <xf numFmtId="49" fontId="68" fillId="0" borderId="58" xfId="13" applyNumberFormat="1" applyFont="1" applyFill="1" applyBorder="1" applyAlignment="1">
      <alignment horizontal="left" vertical="center"/>
    </xf>
    <xf numFmtId="4" fontId="68" fillId="0" borderId="55" xfId="13" applyNumberFormat="1" applyFont="1" applyFill="1" applyBorder="1" applyAlignment="1">
      <alignment vertical="center"/>
    </xf>
    <xf numFmtId="0" fontId="68" fillId="18" borderId="71" xfId="13" applyFont="1" applyFill="1" applyBorder="1" applyAlignment="1">
      <alignment vertical="center"/>
    </xf>
    <xf numFmtId="49" fontId="70" fillId="18" borderId="71" xfId="13" applyNumberFormat="1" applyFont="1" applyFill="1" applyBorder="1" applyAlignment="1">
      <alignment horizontal="left" vertical="center" wrapText="1"/>
    </xf>
    <xf numFmtId="49" fontId="68" fillId="3" borderId="71" xfId="13" applyNumberFormat="1" applyFont="1" applyFill="1" applyBorder="1" applyAlignment="1">
      <alignment horizontal="left" vertical="center"/>
    </xf>
    <xf numFmtId="4" fontId="68" fillId="0" borderId="0" xfId="13" applyNumberFormat="1" applyFont="1" applyFill="1" applyBorder="1" applyAlignment="1">
      <alignment vertical="center"/>
    </xf>
    <xf numFmtId="0" fontId="68" fillId="0" borderId="74" xfId="13" applyFont="1" applyFill="1" applyBorder="1" applyAlignment="1">
      <alignment vertical="center"/>
    </xf>
    <xf numFmtId="0" fontId="58" fillId="0" borderId="37" xfId="14" applyFont="1" applyFill="1" applyBorder="1" applyAlignment="1">
      <alignment vertical="center"/>
    </xf>
    <xf numFmtId="0" fontId="68" fillId="18" borderId="58" xfId="13" applyFont="1" applyFill="1" applyBorder="1" applyAlignment="1">
      <alignment vertical="center"/>
    </xf>
    <xf numFmtId="49" fontId="70" fillId="18" borderId="58" xfId="13" applyNumberFormat="1" applyFont="1" applyFill="1" applyBorder="1" applyAlignment="1">
      <alignment horizontal="left" vertical="center" wrapText="1"/>
    </xf>
    <xf numFmtId="0" fontId="68" fillId="0" borderId="40" xfId="13" applyFont="1" applyFill="1" applyBorder="1" applyAlignment="1">
      <alignment vertical="center"/>
    </xf>
    <xf numFmtId="0" fontId="68" fillId="0" borderId="0" xfId="13" applyFont="1" applyFill="1" applyBorder="1" applyAlignment="1">
      <alignment vertical="center"/>
    </xf>
    <xf numFmtId="0" fontId="68" fillId="18" borderId="41" xfId="13" applyFont="1" applyFill="1" applyBorder="1" applyAlignment="1">
      <alignment vertical="center"/>
    </xf>
    <xf numFmtId="49" fontId="70" fillId="18" borderId="41" xfId="13" applyNumberFormat="1" applyFont="1" applyFill="1" applyBorder="1" applyAlignment="1">
      <alignment horizontal="left" vertical="center" wrapText="1"/>
    </xf>
    <xf numFmtId="0" fontId="58" fillId="0" borderId="41" xfId="14" applyFont="1" applyFill="1" applyBorder="1" applyAlignment="1">
      <alignment vertical="center"/>
    </xf>
    <xf numFmtId="4" fontId="68" fillId="0" borderId="56" xfId="13" applyNumberFormat="1" applyFont="1" applyFill="1" applyBorder="1" applyAlignment="1">
      <alignment vertical="center"/>
    </xf>
    <xf numFmtId="0" fontId="58" fillId="0" borderId="35" xfId="14" applyFont="1" applyFill="1" applyBorder="1" applyAlignment="1">
      <alignment vertical="center"/>
    </xf>
    <xf numFmtId="0" fontId="68" fillId="11" borderId="0" xfId="13" applyFont="1" applyFill="1" applyAlignment="1">
      <alignment vertical="center"/>
    </xf>
    <xf numFmtId="0" fontId="58" fillId="0" borderId="71" xfId="14" applyFont="1" applyFill="1" applyBorder="1" applyAlignment="1">
      <alignment vertical="center"/>
    </xf>
    <xf numFmtId="0" fontId="68" fillId="3" borderId="37" xfId="13" applyFont="1" applyFill="1" applyBorder="1" applyAlignment="1">
      <alignment vertical="center"/>
    </xf>
    <xf numFmtId="49" fontId="70" fillId="3" borderId="37" xfId="13" applyNumberFormat="1" applyFont="1" applyFill="1" applyBorder="1" applyAlignment="1">
      <alignment horizontal="left" vertical="center" wrapText="1"/>
    </xf>
    <xf numFmtId="0" fontId="68" fillId="3" borderId="54" xfId="13" applyFont="1" applyFill="1" applyBorder="1" applyAlignment="1">
      <alignment vertical="center"/>
    </xf>
    <xf numFmtId="0" fontId="68" fillId="0" borderId="34" xfId="13" applyFont="1" applyFill="1" applyBorder="1" applyAlignment="1">
      <alignment vertical="center"/>
    </xf>
    <xf numFmtId="0" fontId="68" fillId="3" borderId="0" xfId="13" applyFont="1" applyFill="1" applyAlignment="1">
      <alignment vertical="center"/>
    </xf>
    <xf numFmtId="0" fontId="68" fillId="3" borderId="75" xfId="13" applyFont="1" applyFill="1" applyBorder="1" applyAlignment="1">
      <alignment vertical="center"/>
    </xf>
    <xf numFmtId="0" fontId="68" fillId="0" borderId="75" xfId="13" applyFont="1" applyFill="1" applyBorder="1" applyAlignment="1">
      <alignment vertical="center"/>
    </xf>
    <xf numFmtId="0" fontId="70" fillId="0" borderId="34" xfId="13" applyFont="1" applyFill="1" applyBorder="1" applyAlignment="1">
      <alignment vertical="center"/>
    </xf>
    <xf numFmtId="0" fontId="70" fillId="3" borderId="58" xfId="13" applyFont="1" applyFill="1" applyBorder="1" applyAlignment="1">
      <alignment vertical="center"/>
    </xf>
    <xf numFmtId="0" fontId="71" fillId="0" borderId="34" xfId="13" applyFont="1" applyFill="1" applyBorder="1" applyAlignment="1">
      <alignment vertical="center"/>
    </xf>
    <xf numFmtId="0" fontId="68" fillId="3" borderId="41" xfId="13" applyFont="1" applyFill="1" applyBorder="1" applyAlignment="1">
      <alignment vertical="center"/>
    </xf>
    <xf numFmtId="49" fontId="70" fillId="3" borderId="41" xfId="13" applyNumberFormat="1" applyFont="1" applyFill="1" applyBorder="1" applyAlignment="1">
      <alignment horizontal="left" vertical="center" wrapText="1"/>
    </xf>
    <xf numFmtId="4" fontId="68" fillId="0" borderId="76" xfId="13" applyNumberFormat="1" applyFont="1" applyFill="1" applyBorder="1" applyAlignment="1">
      <alignment vertical="center"/>
    </xf>
    <xf numFmtId="0" fontId="71" fillId="3" borderId="58" xfId="13" applyFont="1" applyFill="1" applyBorder="1" applyAlignment="1">
      <alignment vertical="center"/>
    </xf>
    <xf numFmtId="0" fontId="70" fillId="0" borderId="58" xfId="13" applyFont="1" applyFill="1" applyBorder="1" applyAlignment="1">
      <alignment vertical="center"/>
    </xf>
    <xf numFmtId="49" fontId="62" fillId="11" borderId="37" xfId="13" applyNumberFormat="1" applyFont="1" applyFill="1" applyBorder="1" applyAlignment="1">
      <alignment horizontal="right" vertical="center"/>
    </xf>
    <xf numFmtId="49" fontId="70" fillId="11" borderId="37" xfId="13" applyNumberFormat="1" applyFont="1" applyFill="1" applyBorder="1" applyAlignment="1">
      <alignment horizontal="left" vertical="center" wrapText="1"/>
    </xf>
    <xf numFmtId="0" fontId="58" fillId="0" borderId="38" xfId="13" applyFont="1" applyFill="1" applyBorder="1" applyAlignment="1">
      <alignment vertical="center"/>
    </xf>
    <xf numFmtId="49" fontId="62" fillId="11" borderId="58" xfId="13" applyNumberFormat="1" applyFont="1" applyFill="1" applyBorder="1" applyAlignment="1">
      <alignment horizontal="right" vertical="center"/>
    </xf>
    <xf numFmtId="49" fontId="70" fillId="11" borderId="58" xfId="13" applyNumberFormat="1" applyFont="1" applyFill="1" applyBorder="1" applyAlignment="1">
      <alignment horizontal="left" vertical="center" wrapText="1"/>
    </xf>
    <xf numFmtId="0" fontId="58" fillId="0" borderId="40" xfId="13" applyFont="1" applyFill="1" applyBorder="1" applyAlignment="1">
      <alignment vertical="center"/>
    </xf>
    <xf numFmtId="49" fontId="62" fillId="11" borderId="41" xfId="13" applyNumberFormat="1" applyFont="1" applyFill="1" applyBorder="1" applyAlignment="1">
      <alignment horizontal="right" vertical="center"/>
    </xf>
    <xf numFmtId="0" fontId="58" fillId="0" borderId="42" xfId="13" applyFont="1" applyFill="1" applyBorder="1" applyAlignment="1">
      <alignment vertical="center"/>
    </xf>
    <xf numFmtId="49" fontId="62" fillId="0" borderId="35" xfId="13" applyNumberFormat="1" applyFont="1" applyFill="1" applyBorder="1" applyAlignment="1">
      <alignment horizontal="right" vertical="center"/>
    </xf>
    <xf numFmtId="49" fontId="58" fillId="0" borderId="35" xfId="13" applyNumberFormat="1" applyFont="1" applyFill="1" applyBorder="1" applyAlignment="1">
      <alignment horizontal="center" vertical="center"/>
    </xf>
    <xf numFmtId="1" fontId="62" fillId="0" borderId="35" xfId="13" applyNumberFormat="1" applyFont="1" applyFill="1" applyBorder="1" applyAlignment="1">
      <alignment horizontal="center" vertical="center"/>
    </xf>
    <xf numFmtId="177" fontId="62" fillId="0" borderId="35" xfId="13" applyNumberFormat="1" applyFont="1" applyFill="1" applyBorder="1" applyAlignment="1">
      <alignment horizontal="right" vertical="center"/>
    </xf>
    <xf numFmtId="177" fontId="62" fillId="0" borderId="35" xfId="13" applyNumberFormat="1" applyFont="1" applyFill="1" applyBorder="1" applyAlignment="1">
      <alignment horizontal="center" vertical="center"/>
    </xf>
    <xf numFmtId="4" fontId="62" fillId="0" borderId="35" xfId="13" applyNumberFormat="1" applyFont="1" applyFill="1" applyBorder="1" applyAlignment="1">
      <alignment vertical="center"/>
    </xf>
    <xf numFmtId="0" fontId="64" fillId="0" borderId="0" xfId="13" applyFont="1" applyFill="1" applyAlignment="1">
      <alignment vertical="center"/>
    </xf>
    <xf numFmtId="49" fontId="58" fillId="0" borderId="0" xfId="13" applyNumberFormat="1" applyFont="1" applyFill="1" applyAlignment="1">
      <alignment vertical="center" wrapText="1"/>
    </xf>
    <xf numFmtId="49" fontId="70" fillId="0" borderId="0" xfId="13" applyNumberFormat="1" applyFont="1" applyFill="1" applyBorder="1" applyAlignment="1">
      <alignment horizontal="left" vertical="center" wrapText="1"/>
    </xf>
    <xf numFmtId="0" fontId="64" fillId="0" borderId="59" xfId="13" applyFont="1" applyFill="1" applyBorder="1" applyAlignment="1">
      <alignment vertical="center"/>
    </xf>
    <xf numFmtId="0" fontId="58" fillId="0" borderId="59" xfId="13" applyFont="1" applyFill="1" applyBorder="1" applyAlignment="1">
      <alignment vertical="center"/>
    </xf>
    <xf numFmtId="4" fontId="59" fillId="0" borderId="0" xfId="13" applyNumberFormat="1" applyFont="1" applyFill="1" applyAlignment="1">
      <alignment vertical="center"/>
    </xf>
    <xf numFmtId="0" fontId="58" fillId="0" borderId="0" xfId="13" applyFont="1" applyFill="1" applyAlignment="1">
      <alignment horizontal="center" vertical="center"/>
    </xf>
    <xf numFmtId="4" fontId="11" fillId="0" borderId="58" xfId="14" applyNumberFormat="1" applyFont="1" applyFill="1" applyBorder="1" applyAlignment="1">
      <alignment horizontal="left" vertical="center" wrapText="1"/>
    </xf>
    <xf numFmtId="0" fontId="58" fillId="0" borderId="0" xfId="10" applyFont="1" applyFill="1" applyAlignment="1">
      <alignment vertical="center"/>
    </xf>
    <xf numFmtId="0" fontId="58" fillId="0" borderId="58" xfId="10" applyFont="1" applyFill="1" applyBorder="1" applyAlignment="1">
      <alignment vertical="center"/>
    </xf>
    <xf numFmtId="3" fontId="58" fillId="0" borderId="58" xfId="10" applyNumberFormat="1" applyFont="1" applyFill="1" applyBorder="1" applyAlignment="1">
      <alignment vertical="center"/>
    </xf>
    <xf numFmtId="4" fontId="58" fillId="0" borderId="58" xfId="10" applyNumberFormat="1" applyFont="1" applyFill="1" applyBorder="1" applyAlignment="1">
      <alignment vertical="center"/>
    </xf>
    <xf numFmtId="4" fontId="58" fillId="0" borderId="58" xfId="13" applyNumberFormat="1" applyFont="1" applyFill="1" applyBorder="1" applyAlignment="1">
      <alignment horizontal="right" vertical="center"/>
    </xf>
    <xf numFmtId="4" fontId="6" fillId="0" borderId="58" xfId="14" applyNumberFormat="1" applyFont="1" applyBorder="1" applyAlignment="1">
      <alignment vertical="center" wrapText="1"/>
    </xf>
    <xf numFmtId="4" fontId="6" fillId="0" borderId="71" xfId="14" applyNumberFormat="1" applyFont="1" applyBorder="1" applyAlignment="1">
      <alignment vertical="center" wrapText="1"/>
    </xf>
    <xf numFmtId="0" fontId="58" fillId="0" borderId="71" xfId="10" applyFont="1" applyFill="1" applyBorder="1" applyAlignment="1">
      <alignment vertical="center"/>
    </xf>
    <xf numFmtId="3" fontId="58" fillId="0" borderId="0" xfId="10" applyNumberFormat="1" applyFont="1" applyFill="1" applyAlignment="1">
      <alignment vertical="center"/>
    </xf>
    <xf numFmtId="4" fontId="68" fillId="0" borderId="54" xfId="13" applyNumberFormat="1" applyFont="1" applyFill="1" applyBorder="1" applyAlignment="1">
      <alignment vertical="center"/>
    </xf>
    <xf numFmtId="4" fontId="68" fillId="0" borderId="75" xfId="13" applyNumberFormat="1" applyFont="1" applyFill="1" applyBorder="1" applyAlignment="1">
      <alignment vertical="center"/>
    </xf>
    <xf numFmtId="0" fontId="58" fillId="8" borderId="0" xfId="13" applyFont="1" applyFill="1" applyAlignment="1">
      <alignment vertical="center"/>
    </xf>
    <xf numFmtId="0" fontId="67" fillId="8" borderId="0" xfId="13" applyFont="1" applyFill="1" applyAlignment="1">
      <alignment vertical="center"/>
    </xf>
    <xf numFmtId="49" fontId="71" fillId="8" borderId="71" xfId="13" applyNumberFormat="1" applyFont="1" applyFill="1" applyBorder="1" applyAlignment="1">
      <alignment horizontal="center" vertical="center" wrapText="1"/>
    </xf>
    <xf numFmtId="4" fontId="68" fillId="8" borderId="58" xfId="13" applyNumberFormat="1" applyFont="1" applyFill="1" applyBorder="1" applyAlignment="1">
      <alignment horizontal="right" vertical="center" wrapText="1"/>
    </xf>
    <xf numFmtId="4" fontId="68" fillId="8" borderId="71" xfId="13" applyNumberFormat="1" applyFont="1" applyFill="1" applyBorder="1" applyAlignment="1">
      <alignment horizontal="right" vertical="center" wrapText="1"/>
    </xf>
    <xf numFmtId="4" fontId="68" fillId="8" borderId="37" xfId="13" applyNumberFormat="1" applyFont="1" applyFill="1" applyBorder="1" applyAlignment="1">
      <alignment horizontal="right" vertical="center" wrapText="1"/>
    </xf>
    <xf numFmtId="4" fontId="68" fillId="8" borderId="41" xfId="13" applyNumberFormat="1" applyFont="1" applyFill="1" applyBorder="1" applyAlignment="1">
      <alignment horizontal="right" vertical="center" wrapText="1"/>
    </xf>
    <xf numFmtId="4" fontId="68" fillId="8" borderId="35" xfId="13" applyNumberFormat="1" applyFont="1" applyFill="1" applyBorder="1" applyAlignment="1">
      <alignment horizontal="right" vertical="center" wrapText="1"/>
    </xf>
    <xf numFmtId="177" fontId="62" fillId="8" borderId="35" xfId="13" applyNumberFormat="1" applyFont="1" applyFill="1" applyBorder="1" applyAlignment="1">
      <alignment horizontal="right" vertical="center"/>
    </xf>
    <xf numFmtId="2" fontId="58" fillId="8" borderId="0" xfId="13" applyNumberFormat="1" applyFont="1" applyFill="1" applyAlignment="1">
      <alignment vertical="center"/>
    </xf>
    <xf numFmtId="4" fontId="58" fillId="8" borderId="0" xfId="13" applyNumberFormat="1" applyFont="1" applyFill="1" applyAlignment="1">
      <alignment vertical="center"/>
    </xf>
    <xf numFmtId="4" fontId="62" fillId="8" borderId="0" xfId="13" applyNumberFormat="1" applyFont="1" applyFill="1" applyAlignment="1">
      <alignment vertical="center"/>
    </xf>
    <xf numFmtId="4" fontId="59" fillId="8" borderId="0" xfId="13" applyNumberFormat="1" applyFont="1" applyFill="1" applyAlignment="1">
      <alignment vertical="center"/>
    </xf>
    <xf numFmtId="4" fontId="73" fillId="8" borderId="0" xfId="13" applyNumberFormat="1" applyFont="1" applyFill="1" applyAlignment="1">
      <alignment vertical="center"/>
    </xf>
    <xf numFmtId="4" fontId="58" fillId="8" borderId="58" xfId="13" applyNumberFormat="1" applyFont="1" applyFill="1" applyBorder="1" applyAlignment="1">
      <alignment horizontal="right" vertical="center"/>
    </xf>
    <xf numFmtId="0" fontId="68" fillId="0" borderId="37" xfId="13" applyFont="1" applyFill="1" applyBorder="1" applyAlignment="1">
      <alignment vertical="center"/>
    </xf>
    <xf numFmtId="49" fontId="62" fillId="3" borderId="41" xfId="13" applyNumberFormat="1" applyFont="1" applyFill="1" applyBorder="1" applyAlignment="1">
      <alignment horizontal="right" vertical="center"/>
    </xf>
    <xf numFmtId="0" fontId="68" fillId="0" borderId="41" xfId="13" applyFont="1" applyFill="1" applyBorder="1" applyAlignment="1">
      <alignment vertical="center"/>
    </xf>
    <xf numFmtId="0" fontId="70" fillId="0" borderId="37" xfId="13" applyFont="1" applyFill="1" applyBorder="1" applyAlignment="1">
      <alignment vertical="center"/>
    </xf>
    <xf numFmtId="0" fontId="68" fillId="3" borderId="55" xfId="13" applyFont="1" applyFill="1" applyBorder="1" applyAlignment="1">
      <alignment vertical="center"/>
    </xf>
    <xf numFmtId="49" fontId="59" fillId="3" borderId="45" xfId="13" applyNumberFormat="1" applyFont="1" applyFill="1" applyBorder="1" applyAlignment="1">
      <alignment horizontal="center" vertical="center" wrapText="1"/>
    </xf>
    <xf numFmtId="0" fontId="68" fillId="3" borderId="44" xfId="13" applyFont="1" applyFill="1" applyBorder="1" applyAlignment="1">
      <alignment vertical="center"/>
    </xf>
    <xf numFmtId="49" fontId="70" fillId="3" borderId="44" xfId="13" applyNumberFormat="1" applyFont="1" applyFill="1" applyBorder="1" applyAlignment="1">
      <alignment horizontal="left" vertical="center" wrapText="1"/>
    </xf>
    <xf numFmtId="1" fontId="68" fillId="3" borderId="44" xfId="13" applyNumberFormat="1" applyFont="1" applyFill="1" applyBorder="1" applyAlignment="1">
      <alignment horizontal="center" vertical="center"/>
    </xf>
    <xf numFmtId="49" fontId="68" fillId="3" borderId="44" xfId="13" applyNumberFormat="1" applyFont="1" applyFill="1" applyBorder="1" applyAlignment="1">
      <alignment horizontal="center" vertical="center"/>
    </xf>
    <xf numFmtId="0" fontId="58" fillId="0" borderId="44" xfId="14" applyFont="1" applyFill="1" applyBorder="1" applyAlignment="1">
      <alignment vertical="center"/>
    </xf>
    <xf numFmtId="4" fontId="68" fillId="3" borderId="44" xfId="13" applyNumberFormat="1" applyFont="1" applyFill="1" applyBorder="1" applyAlignment="1">
      <alignment horizontal="right" vertical="center"/>
    </xf>
    <xf numFmtId="4" fontId="68" fillId="0" borderId="44" xfId="13" applyNumberFormat="1" applyFont="1" applyFill="1" applyBorder="1" applyAlignment="1">
      <alignment horizontal="right" vertical="center"/>
    </xf>
    <xf numFmtId="3" fontId="68" fillId="3" borderId="44" xfId="13" applyNumberFormat="1" applyFont="1" applyFill="1" applyBorder="1" applyAlignment="1">
      <alignment horizontal="right" vertical="center"/>
    </xf>
    <xf numFmtId="3" fontId="68" fillId="3" borderId="44" xfId="13" applyNumberFormat="1" applyFont="1" applyFill="1" applyBorder="1" applyAlignment="1">
      <alignment horizontal="right" vertical="center" wrapText="1"/>
    </xf>
    <xf numFmtId="4" fontId="68" fillId="0" borderId="44" xfId="13" applyNumberFormat="1" applyFont="1" applyFill="1" applyBorder="1" applyAlignment="1">
      <alignment horizontal="right" vertical="center" wrapText="1"/>
    </xf>
    <xf numFmtId="4" fontId="68" fillId="3" borderId="44" xfId="13" applyNumberFormat="1" applyFont="1" applyFill="1" applyBorder="1" applyAlignment="1">
      <alignment horizontal="right" vertical="center" wrapText="1"/>
    </xf>
    <xf numFmtId="4" fontId="68" fillId="8" borderId="44" xfId="13" applyNumberFormat="1" applyFont="1" applyFill="1" applyBorder="1" applyAlignment="1">
      <alignment horizontal="right" vertical="center" wrapText="1"/>
    </xf>
    <xf numFmtId="4" fontId="68" fillId="3" borderId="44" xfId="13" applyNumberFormat="1" applyFont="1" applyFill="1" applyBorder="1" applyAlignment="1">
      <alignment vertical="center"/>
    </xf>
    <xf numFmtId="4" fontId="68" fillId="0" borderId="43" xfId="13" applyNumberFormat="1" applyFont="1" applyFill="1" applyBorder="1" applyAlignment="1">
      <alignment vertical="center"/>
    </xf>
    <xf numFmtId="0" fontId="68" fillId="0" borderId="44" xfId="13" applyFont="1" applyFill="1" applyBorder="1" applyAlignment="1">
      <alignment vertical="center"/>
    </xf>
    <xf numFmtId="4" fontId="68" fillId="0" borderId="20" xfId="13" applyNumberFormat="1" applyFont="1" applyFill="1" applyBorder="1" applyAlignment="1">
      <alignment vertical="center"/>
    </xf>
    <xf numFmtId="0" fontId="68" fillId="3" borderId="56" xfId="13" applyFont="1" applyFill="1" applyBorder="1" applyAlignment="1">
      <alignment vertical="center"/>
    </xf>
    <xf numFmtId="49" fontId="70" fillId="0" borderId="41" xfId="13" applyNumberFormat="1" applyFont="1" applyFill="1" applyBorder="1" applyAlignment="1">
      <alignment horizontal="left" vertical="center" wrapText="1"/>
    </xf>
    <xf numFmtId="1" fontId="68" fillId="0" borderId="41" xfId="13" applyNumberFormat="1" applyFont="1" applyFill="1" applyBorder="1" applyAlignment="1">
      <alignment horizontal="center" vertical="center"/>
    </xf>
    <xf numFmtId="49" fontId="68" fillId="0" borderId="41" xfId="13" applyNumberFormat="1" applyFont="1" applyFill="1" applyBorder="1" applyAlignment="1">
      <alignment horizontal="center" vertical="center"/>
    </xf>
    <xf numFmtId="3" fontId="68" fillId="0" borderId="41" xfId="13" applyNumberFormat="1" applyFont="1" applyFill="1" applyBorder="1" applyAlignment="1">
      <alignment horizontal="right" vertical="center"/>
    </xf>
    <xf numFmtId="3" fontId="68" fillId="0" borderId="41" xfId="13" applyNumberFormat="1" applyFont="1" applyFill="1" applyBorder="1" applyAlignment="1">
      <alignment horizontal="right" vertical="center" wrapText="1"/>
    </xf>
    <xf numFmtId="4" fontId="68" fillId="0" borderId="41" xfId="13" applyNumberFormat="1" applyFont="1" applyFill="1" applyBorder="1" applyAlignment="1">
      <alignment vertical="center"/>
    </xf>
    <xf numFmtId="0" fontId="68" fillId="0" borderId="25" xfId="13" applyFont="1" applyFill="1" applyBorder="1" applyAlignment="1">
      <alignment vertical="center"/>
    </xf>
    <xf numFmtId="49" fontId="68" fillId="3" borderId="6" xfId="13" applyNumberFormat="1" applyFont="1" applyFill="1" applyBorder="1" applyAlignment="1">
      <alignment horizontal="center" vertical="center" wrapText="1"/>
    </xf>
    <xf numFmtId="0" fontId="68" fillId="3" borderId="6" xfId="13" applyFont="1" applyFill="1" applyBorder="1" applyAlignment="1">
      <alignment vertical="center"/>
    </xf>
    <xf numFmtId="49" fontId="70" fillId="3" borderId="6" xfId="13" applyNumberFormat="1" applyFont="1" applyFill="1" applyBorder="1" applyAlignment="1">
      <alignment horizontal="left" vertical="center" wrapText="1"/>
    </xf>
    <xf numFmtId="1" fontId="68" fillId="3" borderId="6" xfId="13" applyNumberFormat="1" applyFont="1" applyFill="1" applyBorder="1" applyAlignment="1">
      <alignment horizontal="center" vertical="center"/>
    </xf>
    <xf numFmtId="49" fontId="68" fillId="3" borderId="6" xfId="13" applyNumberFormat="1" applyFont="1" applyFill="1" applyBorder="1" applyAlignment="1">
      <alignment horizontal="center" vertical="center"/>
    </xf>
    <xf numFmtId="0" fontId="58" fillId="0" borderId="6" xfId="14" applyFont="1" applyFill="1" applyBorder="1" applyAlignment="1">
      <alignment vertical="center"/>
    </xf>
    <xf numFmtId="4" fontId="68" fillId="3" borderId="6" xfId="13" applyNumberFormat="1" applyFont="1" applyFill="1" applyBorder="1" applyAlignment="1">
      <alignment horizontal="right" vertical="center"/>
    </xf>
    <xf numFmtId="4" fontId="68" fillId="0" borderId="6" xfId="13" applyNumberFormat="1" applyFont="1" applyFill="1" applyBorder="1" applyAlignment="1">
      <alignment horizontal="right" vertical="center"/>
    </xf>
    <xf numFmtId="3" fontId="68" fillId="3" borderId="6" xfId="13" applyNumberFormat="1" applyFont="1" applyFill="1" applyBorder="1" applyAlignment="1">
      <alignment horizontal="right" vertical="center"/>
    </xf>
    <xf numFmtId="3" fontId="68" fillId="3" borderId="6" xfId="13" applyNumberFormat="1" applyFont="1" applyFill="1" applyBorder="1" applyAlignment="1">
      <alignment horizontal="right" vertical="center" wrapText="1"/>
    </xf>
    <xf numFmtId="4" fontId="68" fillId="0" borderId="6" xfId="13" applyNumberFormat="1" applyFont="1" applyFill="1" applyBorder="1" applyAlignment="1">
      <alignment horizontal="right" vertical="center" wrapText="1"/>
    </xf>
    <xf numFmtId="4" fontId="68" fillId="3" borderId="6" xfId="13" applyNumberFormat="1" applyFont="1" applyFill="1" applyBorder="1" applyAlignment="1">
      <alignment horizontal="right" vertical="center" wrapText="1"/>
    </xf>
    <xf numFmtId="4" fontId="68" fillId="8" borderId="6" xfId="13" applyNumberFormat="1" applyFont="1" applyFill="1" applyBorder="1" applyAlignment="1">
      <alignment horizontal="right" vertical="center" wrapText="1"/>
    </xf>
    <xf numFmtId="4" fontId="68" fillId="3" borderId="6" xfId="13" applyNumberFormat="1" applyFont="1" applyFill="1" applyBorder="1" applyAlignment="1">
      <alignment vertical="center"/>
    </xf>
    <xf numFmtId="0" fontId="68" fillId="0" borderId="6" xfId="13" applyFont="1" applyFill="1" applyBorder="1" applyAlignment="1">
      <alignment vertical="center"/>
    </xf>
    <xf numFmtId="4" fontId="53" fillId="0" borderId="58" xfId="0" applyNumberFormat="1" applyFont="1" applyFill="1" applyBorder="1" applyAlignment="1">
      <alignment horizontal="right" vertical="center"/>
    </xf>
    <xf numFmtId="4" fontId="6" fillId="0" borderId="58" xfId="0" applyNumberFormat="1" applyFont="1" applyFill="1" applyBorder="1" applyAlignment="1">
      <alignment horizontal="right" vertical="center"/>
    </xf>
    <xf numFmtId="2" fontId="53" fillId="0" borderId="58" xfId="0" applyNumberFormat="1" applyFont="1" applyFill="1" applyBorder="1" applyAlignment="1">
      <alignment horizontal="right" vertical="center"/>
    </xf>
    <xf numFmtId="4" fontId="53" fillId="0" borderId="1" xfId="0" applyNumberFormat="1" applyFont="1" applyFill="1" applyBorder="1" applyAlignment="1">
      <alignment horizontal="right" vertical="center"/>
    </xf>
    <xf numFmtId="2" fontId="53" fillId="0" borderId="1" xfId="0" applyNumberFormat="1" applyFont="1" applyFill="1" applyBorder="1" applyAlignment="1">
      <alignment horizontal="right" vertical="center"/>
    </xf>
    <xf numFmtId="164" fontId="5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5" fontId="53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2" fontId="53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4" fontId="9" fillId="8" borderId="0" xfId="0" applyNumberFormat="1" applyFont="1" applyFill="1"/>
    <xf numFmtId="4" fontId="68" fillId="0" borderId="55" xfId="13" applyNumberFormat="1" applyFont="1" applyFill="1" applyBorder="1" applyAlignment="1">
      <alignment horizontal="right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 wrapText="1"/>
    </xf>
    <xf numFmtId="0" fontId="45" fillId="0" borderId="58" xfId="0" applyFont="1" applyBorder="1" applyAlignment="1">
      <alignment vertical="center"/>
    </xf>
    <xf numFmtId="4" fontId="45" fillId="0" borderId="58" xfId="0" applyNumberFormat="1" applyFont="1" applyBorder="1" applyAlignment="1">
      <alignment vertical="center"/>
    </xf>
    <xf numFmtId="4" fontId="40" fillId="0" borderId="58" xfId="0" applyNumberFormat="1" applyFont="1" applyBorder="1" applyAlignment="1">
      <alignment vertical="center"/>
    </xf>
    <xf numFmtId="170" fontId="6" fillId="0" borderId="0" xfId="10" applyNumberFormat="1" applyFont="1" applyAlignment="1">
      <alignment vertical="center"/>
    </xf>
    <xf numFmtId="164" fontId="47" fillId="0" borderId="0" xfId="0" applyNumberFormat="1" applyFont="1"/>
    <xf numFmtId="4" fontId="40" fillId="4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4" fontId="6" fillId="0" borderId="6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6" fillId="8" borderId="58" xfId="0" applyNumberFormat="1" applyFont="1" applyFill="1" applyBorder="1" applyAlignment="1">
      <alignment vertical="center"/>
    </xf>
    <xf numFmtId="4" fontId="6" fillId="11" borderId="58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left" vertical="center"/>
    </xf>
    <xf numFmtId="4" fontId="53" fillId="0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164" fontId="6" fillId="0" borderId="0" xfId="0" applyNumberFormat="1" applyFont="1"/>
    <xf numFmtId="4" fontId="33" fillId="0" borderId="31" xfId="0" applyNumberFormat="1" applyFont="1" applyBorder="1" applyAlignment="1">
      <alignment vertical="center"/>
    </xf>
    <xf numFmtId="4" fontId="6" fillId="4" borderId="0" xfId="0" applyNumberFormat="1" applyFont="1" applyFill="1" applyAlignment="1">
      <alignment horizontal="left" vertical="center"/>
    </xf>
    <xf numFmtId="0" fontId="40" fillId="0" borderId="58" xfId="0" applyFont="1" applyBorder="1" applyAlignment="1">
      <alignment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/>
    </xf>
    <xf numFmtId="0" fontId="24" fillId="0" borderId="58" xfId="0" applyFont="1" applyBorder="1" applyAlignment="1">
      <alignment vertical="center" wrapText="1"/>
    </xf>
    <xf numFmtId="0" fontId="40" fillId="0" borderId="58" xfId="0" applyFont="1" applyBorder="1" applyAlignment="1">
      <alignment vertical="center"/>
    </xf>
    <xf numFmtId="4" fontId="40" fillId="0" borderId="58" xfId="0" applyNumberFormat="1" applyFont="1" applyFill="1" applyBorder="1" applyAlignment="1">
      <alignment vertical="center"/>
    </xf>
    <xf numFmtId="0" fontId="27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32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vertical="center"/>
    </xf>
    <xf numFmtId="4" fontId="27" fillId="0" borderId="58" xfId="0" applyNumberFormat="1" applyFont="1" applyBorder="1" applyAlignment="1">
      <alignment vertical="center"/>
    </xf>
    <xf numFmtId="4" fontId="27" fillId="0" borderId="58" xfId="0" applyNumberFormat="1" applyFont="1" applyFill="1" applyBorder="1" applyAlignment="1">
      <alignment vertical="center"/>
    </xf>
    <xf numFmtId="4" fontId="11" fillId="0" borderId="58" xfId="0" applyNumberFormat="1" applyFont="1" applyFill="1" applyBorder="1" applyAlignment="1">
      <alignment vertical="center" wrapText="1"/>
    </xf>
    <xf numFmtId="4" fontId="43" fillId="0" borderId="58" xfId="0" applyNumberFormat="1" applyFont="1" applyFill="1" applyBorder="1" applyAlignment="1">
      <alignment vertical="center" wrapText="1"/>
    </xf>
    <xf numFmtId="4" fontId="11" fillId="0" borderId="58" xfId="0" applyNumberFormat="1" applyFont="1" applyFill="1" applyBorder="1" applyAlignment="1">
      <alignment vertical="center"/>
    </xf>
    <xf numFmtId="4" fontId="43" fillId="0" borderId="5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20" fillId="0" borderId="58" xfId="0" applyFont="1" applyFill="1" applyBorder="1" applyAlignment="1">
      <alignment horizontal="center" vertical="center" wrapText="1"/>
    </xf>
    <xf numFmtId="10" fontId="9" fillId="0" borderId="58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vertical="center" wrapText="1"/>
    </xf>
    <xf numFmtId="4" fontId="12" fillId="0" borderId="58" xfId="0" applyNumberFormat="1" applyFont="1" applyFill="1" applyBorder="1" applyAlignment="1">
      <alignment vertical="center" wrapText="1"/>
    </xf>
    <xf numFmtId="4" fontId="12" fillId="0" borderId="58" xfId="0" applyNumberFormat="1" applyFont="1" applyFill="1" applyBorder="1" applyAlignment="1">
      <alignment horizontal="right" vertical="center"/>
    </xf>
    <xf numFmtId="4" fontId="29" fillId="0" borderId="58" xfId="0" applyNumberFormat="1" applyFont="1" applyFill="1" applyBorder="1" applyAlignment="1">
      <alignment horizontal="right" vertical="center" wrapText="1"/>
    </xf>
    <xf numFmtId="4" fontId="30" fillId="0" borderId="58" xfId="0" applyNumberFormat="1" applyFont="1" applyFill="1" applyBorder="1" applyAlignment="1">
      <alignment vertical="center" wrapText="1"/>
    </xf>
    <xf numFmtId="0" fontId="9" fillId="0" borderId="58" xfId="0" applyFont="1" applyFill="1" applyBorder="1"/>
    <xf numFmtId="4" fontId="15" fillId="0" borderId="58" xfId="0" applyNumberFormat="1" applyFont="1" applyFill="1" applyBorder="1" applyAlignment="1">
      <alignment vertical="center" wrapText="1"/>
    </xf>
    <xf numFmtId="4" fontId="40" fillId="0" borderId="0" xfId="0" applyNumberFormat="1" applyFont="1"/>
    <xf numFmtId="0" fontId="40" fillId="0" borderId="0" xfId="0" applyFont="1"/>
    <xf numFmtId="0" fontId="46" fillId="0" borderId="0" xfId="0" applyFont="1"/>
    <xf numFmtId="0" fontId="40" fillId="0" borderId="0" xfId="0" applyFont="1" applyAlignment="1">
      <alignment horizontal="right"/>
    </xf>
    <xf numFmtId="0" fontId="6" fillId="0" borderId="0" xfId="0" applyFont="1" applyFill="1" applyAlignment="1">
      <alignment vertical="center" wrapText="1"/>
    </xf>
    <xf numFmtId="174" fontId="22" fillId="0" borderId="58" xfId="3" quotePrefix="1" applyNumberFormat="1" applyFont="1" applyBorder="1" applyAlignment="1">
      <alignment horizontal="center" vertical="center" wrapText="1"/>
    </xf>
    <xf numFmtId="0" fontId="6" fillId="3" borderId="58" xfId="0" quotePrefix="1" applyFont="1" applyFill="1" applyBorder="1" applyAlignment="1">
      <alignment horizontal="center" vertical="center" wrapText="1"/>
    </xf>
    <xf numFmtId="3" fontId="6" fillId="0" borderId="61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22" fillId="0" borderId="58" xfId="3" quotePrefix="1" applyNumberFormat="1" applyFont="1" applyBorder="1" applyAlignment="1">
      <alignment horizontal="center" vertical="center" wrapText="1"/>
    </xf>
    <xf numFmtId="2" fontId="6" fillId="8" borderId="58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 wrapText="1"/>
    </xf>
    <xf numFmtId="2" fontId="9" fillId="0" borderId="58" xfId="0" applyNumberFormat="1" applyFont="1" applyFill="1" applyBorder="1" applyAlignment="1">
      <alignment vertical="center"/>
    </xf>
    <xf numFmtId="171" fontId="9" fillId="0" borderId="0" xfId="0" applyNumberFormat="1" applyFont="1" applyFill="1" applyAlignment="1">
      <alignment vertical="center"/>
    </xf>
    <xf numFmtId="0" fontId="14" fillId="8" borderId="58" xfId="10" applyFont="1" applyFill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4" fontId="11" fillId="0" borderId="58" xfId="10" applyNumberFormat="1" applyFont="1" applyFill="1" applyBorder="1" applyAlignment="1">
      <alignment horizontal="left" vertical="center" wrapText="1"/>
    </xf>
    <xf numFmtId="4" fontId="6" fillId="0" borderId="58" xfId="10" applyNumberFormat="1" applyFont="1" applyBorder="1" applyAlignment="1">
      <alignment vertical="center"/>
    </xf>
    <xf numFmtId="0" fontId="14" fillId="0" borderId="0" xfId="0" applyFont="1"/>
    <xf numFmtId="4" fontId="53" fillId="0" borderId="58" xfId="0" applyNumberFormat="1" applyFont="1" applyFill="1" applyBorder="1" applyAlignment="1">
      <alignment vertical="center"/>
    </xf>
    <xf numFmtId="0" fontId="0" fillId="0" borderId="58" xfId="0" applyBorder="1"/>
    <xf numFmtId="4" fontId="8" fillId="0" borderId="58" xfId="0" applyNumberFormat="1" applyFont="1" applyBorder="1" applyAlignment="1">
      <alignment horizontal="right" vertical="center" wrapText="1"/>
    </xf>
    <xf numFmtId="4" fontId="39" fillId="9" borderId="58" xfId="0" applyNumberFormat="1" applyFont="1" applyFill="1" applyBorder="1" applyAlignment="1">
      <alignment horizontal="right" vertical="center"/>
    </xf>
    <xf numFmtId="0" fontId="27" fillId="0" borderId="58" xfId="10" applyFont="1" applyBorder="1" applyAlignment="1">
      <alignment horizontal="center" vertical="center" wrapText="1"/>
    </xf>
    <xf numFmtId="0" fontId="20" fillId="0" borderId="58" xfId="10" applyFont="1" applyBorder="1" applyAlignment="1">
      <alignment horizontal="center" vertical="center" wrapText="1"/>
    </xf>
    <xf numFmtId="4" fontId="39" fillId="9" borderId="58" xfId="0" applyNumberFormat="1" applyFont="1" applyFill="1" applyBorder="1" applyAlignment="1">
      <alignment vertical="center"/>
    </xf>
    <xf numFmtId="2" fontId="9" fillId="0" borderId="58" xfId="0" applyNumberFormat="1" applyFont="1" applyFill="1" applyBorder="1" applyAlignment="1">
      <alignment vertical="center" wrapText="1"/>
    </xf>
    <xf numFmtId="0" fontId="75" fillId="0" borderId="58" xfId="0" applyFont="1" applyBorder="1"/>
    <xf numFmtId="4" fontId="6" fillId="0" borderId="58" xfId="10" applyNumberFormat="1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4" fontId="6" fillId="0" borderId="58" xfId="1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4" fontId="6" fillId="0" borderId="71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0" fontId="12" fillId="0" borderId="57" xfId="0" applyFont="1" applyFill="1" applyBorder="1" applyAlignment="1">
      <alignment horizontal="left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wrapText="1"/>
    </xf>
    <xf numFmtId="0" fontId="20" fillId="0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9" fillId="8" borderId="32" xfId="0" applyFont="1" applyFill="1" applyBorder="1" applyAlignment="1">
      <alignment horizontal="right" vertical="center"/>
    </xf>
    <xf numFmtId="0" fontId="39" fillId="8" borderId="33" xfId="0" applyFont="1" applyFill="1" applyBorder="1" applyAlignment="1">
      <alignment horizontal="right" vertical="center"/>
    </xf>
    <xf numFmtId="0" fontId="39" fillId="8" borderId="34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11" borderId="32" xfId="0" applyFont="1" applyFill="1" applyBorder="1" applyAlignment="1">
      <alignment horizontal="left" vertical="center"/>
    </xf>
    <xf numFmtId="0" fontId="9" fillId="11" borderId="61" xfId="0" applyFont="1" applyFill="1" applyBorder="1" applyAlignment="1">
      <alignment horizontal="left" vertical="center"/>
    </xf>
    <xf numFmtId="0" fontId="9" fillId="11" borderId="62" xfId="0" applyFont="1" applyFill="1" applyBorder="1" applyAlignment="1">
      <alignment horizontal="left" vertical="center"/>
    </xf>
    <xf numFmtId="0" fontId="9" fillId="17" borderId="32" xfId="0" applyFont="1" applyFill="1" applyBorder="1" applyAlignment="1">
      <alignment horizontal="left" vertical="center"/>
    </xf>
    <xf numFmtId="0" fontId="9" fillId="17" borderId="61" xfId="0" applyFont="1" applyFill="1" applyBorder="1" applyAlignment="1">
      <alignment horizontal="left" vertical="center"/>
    </xf>
    <xf numFmtId="0" fontId="9" fillId="17" borderId="6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11" borderId="26" xfId="13" applyFont="1" applyFill="1" applyBorder="1" applyAlignment="1">
      <alignment horizontal="center" vertical="center" wrapText="1"/>
    </xf>
    <xf numFmtId="0" fontId="25" fillId="11" borderId="39" xfId="13" applyFont="1" applyFill="1" applyBorder="1" applyAlignment="1">
      <alignment horizontal="center" vertical="center" wrapText="1"/>
    </xf>
    <xf numFmtId="0" fontId="25" fillId="11" borderId="28" xfId="13" applyFont="1" applyFill="1" applyBorder="1" applyAlignment="1">
      <alignment horizontal="center" vertical="center" wrapText="1"/>
    </xf>
    <xf numFmtId="49" fontId="59" fillId="3" borderId="26" xfId="13" applyNumberFormat="1" applyFont="1" applyFill="1" applyBorder="1" applyAlignment="1">
      <alignment horizontal="center" vertical="center" wrapText="1"/>
    </xf>
    <xf numFmtId="0" fontId="1" fillId="3" borderId="39" xfId="13" applyFill="1" applyBorder="1" applyAlignment="1">
      <alignment horizontal="center" vertical="center" wrapText="1"/>
    </xf>
    <xf numFmtId="0" fontId="1" fillId="3" borderId="28" xfId="13" applyFill="1" applyBorder="1" applyAlignment="1">
      <alignment horizontal="center" vertical="center" wrapText="1"/>
    </xf>
    <xf numFmtId="0" fontId="1" fillId="3" borderId="39" xfId="13" applyFill="1" applyBorder="1" applyAlignment="1">
      <alignment vertical="center"/>
    </xf>
    <xf numFmtId="0" fontId="1" fillId="3" borderId="28" xfId="13" applyFill="1" applyBorder="1" applyAlignment="1">
      <alignment vertical="center"/>
    </xf>
    <xf numFmtId="0" fontId="72" fillId="11" borderId="26" xfId="13" applyFont="1" applyFill="1" applyBorder="1" applyAlignment="1">
      <alignment horizontal="center" vertical="center" wrapText="1"/>
    </xf>
    <xf numFmtId="0" fontId="72" fillId="11" borderId="39" xfId="13" applyFont="1" applyFill="1" applyBorder="1" applyAlignment="1">
      <alignment horizontal="center" vertical="center" wrapText="1"/>
    </xf>
    <xf numFmtId="0" fontId="72" fillId="11" borderId="28" xfId="13" applyFont="1" applyFill="1" applyBorder="1" applyAlignment="1">
      <alignment horizontal="center" vertical="center" wrapText="1"/>
    </xf>
    <xf numFmtId="49" fontId="59" fillId="3" borderId="39" xfId="13" applyNumberFormat="1" applyFont="1" applyFill="1" applyBorder="1" applyAlignment="1">
      <alignment horizontal="center" vertical="center" wrapText="1"/>
    </xf>
    <xf numFmtId="49" fontId="59" fillId="3" borderId="28" xfId="13" applyNumberFormat="1" applyFont="1" applyFill="1" applyBorder="1" applyAlignment="1">
      <alignment horizontal="center" vertical="center" wrapText="1"/>
    </xf>
    <xf numFmtId="49" fontId="59" fillId="3" borderId="47" xfId="13" applyNumberFormat="1" applyFont="1" applyFill="1" applyBorder="1" applyAlignment="1">
      <alignment horizontal="center" vertical="center" wrapText="1"/>
    </xf>
    <xf numFmtId="49" fontId="59" fillId="3" borderId="49" xfId="13" applyNumberFormat="1" applyFont="1" applyFill="1" applyBorder="1" applyAlignment="1">
      <alignment horizontal="center" vertical="center" wrapText="1"/>
    </xf>
    <xf numFmtId="49" fontId="59" fillId="3" borderId="52" xfId="13" applyNumberFormat="1" applyFont="1" applyFill="1" applyBorder="1" applyAlignment="1">
      <alignment horizontal="center" vertical="center" wrapText="1"/>
    </xf>
    <xf numFmtId="49" fontId="59" fillId="3" borderId="73" xfId="13" applyNumberFormat="1" applyFont="1" applyFill="1" applyBorder="1" applyAlignment="1">
      <alignment horizontal="center" vertical="center" wrapText="1"/>
    </xf>
    <xf numFmtId="49" fontId="59" fillId="3" borderId="35" xfId="13" applyNumberFormat="1" applyFont="1" applyFill="1" applyBorder="1" applyAlignment="1">
      <alignment horizontal="center" vertical="center" wrapText="1"/>
    </xf>
    <xf numFmtId="49" fontId="59" fillId="3" borderId="58" xfId="13" applyNumberFormat="1" applyFont="1" applyFill="1" applyBorder="1" applyAlignment="1">
      <alignment horizontal="center" vertical="center" wrapText="1"/>
    </xf>
    <xf numFmtId="0" fontId="28" fillId="3" borderId="58" xfId="13" applyFont="1" applyFill="1" applyBorder="1" applyAlignment="1">
      <alignment horizontal="center" vertical="center" wrapText="1"/>
    </xf>
    <xf numFmtId="0" fontId="28" fillId="3" borderId="71" xfId="13" applyFont="1" applyFill="1" applyBorder="1" applyAlignment="1">
      <alignment horizontal="center" vertical="center" wrapText="1"/>
    </xf>
    <xf numFmtId="49" fontId="59" fillId="18" borderId="26" xfId="13" applyNumberFormat="1" applyFont="1" applyFill="1" applyBorder="1" applyAlignment="1">
      <alignment horizontal="center" vertical="center" wrapText="1"/>
    </xf>
    <xf numFmtId="0" fontId="1" fillId="18" borderId="73" xfId="13" applyFill="1" applyBorder="1" applyAlignment="1">
      <alignment horizontal="center" vertical="center" wrapText="1"/>
    </xf>
    <xf numFmtId="0" fontId="1" fillId="18" borderId="39" xfId="13" applyFill="1" applyBorder="1" applyAlignment="1">
      <alignment horizontal="center" vertical="center" wrapText="1"/>
    </xf>
    <xf numFmtId="0" fontId="1" fillId="18" borderId="28" xfId="13" applyFill="1" applyBorder="1" applyAlignment="1">
      <alignment horizontal="center" vertical="center" wrapText="1"/>
    </xf>
    <xf numFmtId="49" fontId="59" fillId="3" borderId="6" xfId="13" applyNumberFormat="1" applyFont="1" applyFill="1" applyBorder="1" applyAlignment="1">
      <alignment horizontal="center" vertical="center" wrapText="1"/>
    </xf>
    <xf numFmtId="49" fontId="68" fillId="8" borderId="58" xfId="13" applyNumberFormat="1" applyFont="1" applyFill="1" applyBorder="1" applyAlignment="1">
      <alignment horizontal="center" vertical="center" wrapText="1"/>
    </xf>
    <xf numFmtId="49" fontId="70" fillId="0" borderId="58" xfId="13" applyNumberFormat="1" applyFont="1" applyFill="1" applyBorder="1" applyAlignment="1">
      <alignment horizontal="center" vertical="center" wrapText="1"/>
    </xf>
    <xf numFmtId="49" fontId="68" fillId="0" borderId="58" xfId="13" applyNumberFormat="1" applyFont="1" applyFill="1" applyBorder="1" applyAlignment="1">
      <alignment horizontal="center" vertical="center" wrapText="1"/>
    </xf>
    <xf numFmtId="49" fontId="68" fillId="0" borderId="71" xfId="13" applyNumberFormat="1" applyFont="1" applyFill="1" applyBorder="1" applyAlignment="1">
      <alignment horizontal="center" vertical="center" wrapText="1"/>
    </xf>
    <xf numFmtId="49" fontId="68" fillId="0" borderId="35" xfId="13" applyNumberFormat="1" applyFont="1" applyFill="1" applyBorder="1" applyAlignment="1">
      <alignment horizontal="center" vertical="center" wrapText="1"/>
    </xf>
    <xf numFmtId="49" fontId="58" fillId="0" borderId="58" xfId="13" applyNumberFormat="1" applyFont="1" applyFill="1" applyBorder="1" applyAlignment="1">
      <alignment horizontal="center" vertical="center" wrapText="1"/>
    </xf>
    <xf numFmtId="49" fontId="68" fillId="0" borderId="6" xfId="13" applyNumberFormat="1" applyFont="1" applyFill="1" applyBorder="1" applyAlignment="1">
      <alignment horizontal="center" vertical="center" wrapText="1"/>
    </xf>
    <xf numFmtId="4" fontId="68" fillId="0" borderId="71" xfId="13" applyNumberFormat="1" applyFont="1" applyFill="1" applyBorder="1" applyAlignment="1">
      <alignment horizontal="center" vertical="center" wrapText="1"/>
    </xf>
    <xf numFmtId="4" fontId="1" fillId="0" borderId="6" xfId="13" applyNumberFormat="1" applyBorder="1" applyAlignment="1">
      <alignment vertical="center"/>
    </xf>
    <xf numFmtId="4" fontId="1" fillId="0" borderId="35" xfId="13" applyNumberFormat="1" applyBorder="1" applyAlignment="1">
      <alignment vertical="center"/>
    </xf>
    <xf numFmtId="0" fontId="1" fillId="0" borderId="6" xfId="13" applyBorder="1" applyAlignment="1">
      <alignment horizontal="center" vertical="center" wrapText="1"/>
    </xf>
    <xf numFmtId="0" fontId="1" fillId="0" borderId="35" xfId="13" applyBorder="1" applyAlignment="1">
      <alignment horizontal="center" vertical="center" wrapText="1"/>
    </xf>
    <xf numFmtId="0" fontId="58" fillId="0" borderId="32" xfId="13" applyFont="1" applyFill="1" applyBorder="1" applyAlignment="1">
      <alignment horizontal="center" vertical="center"/>
    </xf>
    <xf numFmtId="0" fontId="58" fillId="0" borderId="34" xfId="13" applyFont="1" applyFill="1" applyBorder="1" applyAlignment="1">
      <alignment horizontal="center" vertical="center"/>
    </xf>
    <xf numFmtId="49" fontId="58" fillId="0" borderId="32" xfId="13" applyNumberFormat="1" applyFont="1" applyFill="1" applyBorder="1" applyAlignment="1">
      <alignment horizontal="center" vertical="center"/>
    </xf>
    <xf numFmtId="49" fontId="58" fillId="0" borderId="34" xfId="13" applyNumberFormat="1" applyFont="1" applyFill="1" applyBorder="1" applyAlignment="1">
      <alignment horizontal="center" vertical="center"/>
    </xf>
    <xf numFmtId="49" fontId="68" fillId="3" borderId="58" xfId="13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39" fillId="9" borderId="32" xfId="0" applyFont="1" applyFill="1" applyBorder="1" applyAlignment="1">
      <alignment horizontal="right" vertical="center"/>
    </xf>
    <xf numFmtId="0" fontId="39" fillId="9" borderId="33" xfId="0" applyFont="1" applyFill="1" applyBorder="1" applyAlignment="1">
      <alignment horizontal="right" vertical="center"/>
    </xf>
    <xf numFmtId="0" fontId="39" fillId="9" borderId="3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2" fontId="20" fillId="3" borderId="32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right" vertical="center" wrapText="1"/>
    </xf>
    <xf numFmtId="0" fontId="39" fillId="9" borderId="58" xfId="0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20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20" fillId="3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right" vertical="center" wrapText="1"/>
    </xf>
    <xf numFmtId="0" fontId="12" fillId="0" borderId="62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left" vertical="center"/>
    </xf>
    <xf numFmtId="0" fontId="39" fillId="9" borderId="2" xfId="0" applyFont="1" applyFill="1" applyBorder="1" applyAlignment="1">
      <alignment horizontal="right" vertical="center"/>
    </xf>
    <xf numFmtId="0" fontId="39" fillId="9" borderId="3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2" fontId="20" fillId="3" borderId="32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7" fillId="3" borderId="58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20" fillId="0" borderId="60" xfId="10" applyFont="1" applyBorder="1" applyAlignment="1">
      <alignment horizontal="center" vertical="center" wrapText="1"/>
    </xf>
    <xf numFmtId="0" fontId="20" fillId="0" borderId="62" xfId="10" applyFont="1" applyBorder="1" applyAlignment="1">
      <alignment horizontal="center" vertical="center" wrapText="1"/>
    </xf>
    <xf numFmtId="0" fontId="39" fillId="9" borderId="60" xfId="0" applyFont="1" applyFill="1" applyBorder="1" applyAlignment="1">
      <alignment horizontal="right" vertical="center"/>
    </xf>
    <xf numFmtId="0" fontId="39" fillId="9" borderId="61" xfId="0" applyFont="1" applyFill="1" applyBorder="1" applyAlignment="1">
      <alignment horizontal="right" vertical="center"/>
    </xf>
    <xf numFmtId="0" fontId="27" fillId="3" borderId="60" xfId="0" applyFont="1" applyFill="1" applyBorder="1" applyAlignment="1">
      <alignment horizontal="center" vertical="center" wrapText="1"/>
    </xf>
    <xf numFmtId="0" fontId="27" fillId="3" borderId="61" xfId="0" applyFont="1" applyFill="1" applyBorder="1" applyAlignment="1">
      <alignment horizontal="center" vertical="center" wrapText="1"/>
    </xf>
    <xf numFmtId="0" fontId="27" fillId="3" borderId="62" xfId="0" applyFont="1" applyFill="1" applyBorder="1" applyAlignment="1">
      <alignment horizontal="center" vertical="center" wrapText="1"/>
    </xf>
    <xf numFmtId="0" fontId="20" fillId="0" borderId="58" xfId="10" applyFont="1" applyBorder="1" applyAlignment="1">
      <alignment horizontal="center" vertical="center" wrapText="1"/>
    </xf>
    <xf numFmtId="0" fontId="27" fillId="0" borderId="58" xfId="10" applyFont="1" applyBorder="1" applyAlignment="1">
      <alignment horizontal="center" vertical="center"/>
    </xf>
    <xf numFmtId="0" fontId="27" fillId="0" borderId="58" xfId="10" applyFont="1" applyBorder="1" applyAlignment="1">
      <alignment horizontal="center" vertical="center" wrapText="1"/>
    </xf>
    <xf numFmtId="2" fontId="6" fillId="0" borderId="60" xfId="0" applyNumberFormat="1" applyFont="1" applyFill="1" applyBorder="1" applyAlignment="1">
      <alignment horizontal="left" vertical="center" wrapText="1"/>
    </xf>
    <xf numFmtId="2" fontId="6" fillId="0" borderId="61" xfId="0" applyNumberFormat="1" applyFont="1" applyFill="1" applyBorder="1" applyAlignment="1">
      <alignment horizontal="left" vertical="center" wrapText="1"/>
    </xf>
    <xf numFmtId="2" fontId="6" fillId="0" borderId="62" xfId="0" applyNumberFormat="1" applyFont="1" applyFill="1" applyBorder="1" applyAlignment="1">
      <alignment horizontal="left" vertical="center" wrapText="1"/>
    </xf>
    <xf numFmtId="3" fontId="6" fillId="0" borderId="60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center"/>
    </xf>
    <xf numFmtId="4" fontId="6" fillId="0" borderId="6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6" fillId="0" borderId="71" xfId="10" applyNumberFormat="1" applyFont="1" applyBorder="1" applyAlignment="1">
      <alignment horizontal="center" vertical="center"/>
    </xf>
    <xf numFmtId="3" fontId="6" fillId="0" borderId="35" xfId="10" applyNumberFormat="1" applyFont="1" applyBorder="1" applyAlignment="1">
      <alignment horizontal="center" vertical="center"/>
    </xf>
    <xf numFmtId="0" fontId="14" fillId="8" borderId="60" xfId="10" applyFont="1" applyFill="1" applyBorder="1" applyAlignment="1">
      <alignment horizontal="center" vertical="center"/>
    </xf>
    <xf numFmtId="0" fontId="14" fillId="8" borderId="61" xfId="10" applyFont="1" applyFill="1" applyBorder="1" applyAlignment="1">
      <alignment horizontal="center" vertical="center"/>
    </xf>
    <xf numFmtId="0" fontId="14" fillId="8" borderId="62" xfId="10" applyFont="1" applyFill="1" applyBorder="1" applyAlignment="1">
      <alignment horizontal="center" vertical="center"/>
    </xf>
    <xf numFmtId="2" fontId="6" fillId="0" borderId="71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166" fontId="6" fillId="0" borderId="71" xfId="10" applyNumberFormat="1" applyFont="1" applyBorder="1" applyAlignment="1">
      <alignment horizontal="center" vertical="center"/>
    </xf>
    <xf numFmtId="166" fontId="6" fillId="0" borderId="35" xfId="1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right" vertical="center"/>
    </xf>
    <xf numFmtId="0" fontId="12" fillId="0" borderId="62" xfId="0" applyFont="1" applyFill="1" applyBorder="1" applyAlignment="1">
      <alignment horizontal="right" vertical="center"/>
    </xf>
    <xf numFmtId="0" fontId="39" fillId="9" borderId="62" xfId="0" applyFont="1" applyFill="1" applyBorder="1" applyAlignment="1">
      <alignment horizontal="right" vertical="center"/>
    </xf>
    <xf numFmtId="0" fontId="76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77" xfId="0" applyNumberFormat="1" applyFont="1" applyBorder="1" applyAlignment="1">
      <alignment horizontal="left" vertical="center"/>
    </xf>
    <xf numFmtId="0" fontId="6" fillId="0" borderId="61" xfId="0" applyNumberFormat="1" applyFont="1" applyBorder="1" applyAlignment="1">
      <alignment horizontal="left" vertical="center"/>
    </xf>
    <xf numFmtId="0" fontId="6" fillId="0" borderId="78" xfId="0" applyNumberFormat="1" applyFont="1" applyBorder="1" applyAlignment="1">
      <alignment horizontal="left" vertical="center"/>
    </xf>
    <xf numFmtId="0" fontId="37" fillId="0" borderId="5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1" fontId="54" fillId="0" borderId="70" xfId="12" applyNumberFormat="1" applyBorder="1" applyAlignment="1">
      <alignment horizontal="left" vertical="top" wrapText="1" indent="10"/>
    </xf>
    <xf numFmtId="0" fontId="54" fillId="0" borderId="70" xfId="12" applyBorder="1" applyAlignment="1">
      <alignment horizontal="left" vertical="top" wrapText="1"/>
    </xf>
    <xf numFmtId="0" fontId="56" fillId="14" borderId="63" xfId="12" applyFont="1" applyFill="1" applyBorder="1" applyAlignment="1">
      <alignment horizontal="left" vertical="top"/>
    </xf>
    <xf numFmtId="0" fontId="54" fillId="0" borderId="70" xfId="12" applyBorder="1" applyAlignment="1">
      <alignment horizontal="left" vertical="top" wrapText="1" indent="6"/>
    </xf>
    <xf numFmtId="0" fontId="54" fillId="0" borderId="70" xfId="12" applyBorder="1" applyAlignment="1">
      <alignment horizontal="left" vertical="top" wrapText="1" indent="8"/>
    </xf>
    <xf numFmtId="0" fontId="57" fillId="16" borderId="70" xfId="12" applyFont="1" applyFill="1" applyBorder="1" applyAlignment="1">
      <alignment horizontal="left" vertical="top" wrapText="1" indent="2"/>
    </xf>
    <xf numFmtId="0" fontId="54" fillId="16" borderId="70" xfId="12" applyFill="1" applyBorder="1" applyAlignment="1">
      <alignment horizontal="left" vertical="top" wrapText="1" indent="4"/>
    </xf>
    <xf numFmtId="0" fontId="56" fillId="14" borderId="64" xfId="12" applyFont="1" applyFill="1" applyBorder="1" applyAlignment="1">
      <alignment horizontal="left" vertical="top" wrapText="1"/>
    </xf>
    <xf numFmtId="0" fontId="56" fillId="14" borderId="65" xfId="12" applyFont="1" applyFill="1" applyBorder="1" applyAlignment="1">
      <alignment horizontal="left" vertical="top" wrapText="1"/>
    </xf>
    <xf numFmtId="0" fontId="56" fillId="14" borderId="66" xfId="12" applyFont="1" applyFill="1" applyBorder="1" applyAlignment="1">
      <alignment horizontal="left" vertical="top" wrapText="1"/>
    </xf>
    <xf numFmtId="0" fontId="56" fillId="14" borderId="63" xfId="12" applyFont="1" applyFill="1" applyBorder="1" applyAlignment="1">
      <alignment horizontal="left" vertical="top" wrapText="1"/>
    </xf>
    <xf numFmtId="0" fontId="56" fillId="14" borderId="63" xfId="12" applyFont="1" applyFill="1" applyBorder="1" applyAlignment="1">
      <alignment horizontal="center" vertical="top" wrapText="1"/>
    </xf>
    <xf numFmtId="0" fontId="54" fillId="0" borderId="0" xfId="12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</cellXfs>
  <cellStyles count="15">
    <cellStyle name="Обычный" xfId="0" builtinId="0"/>
    <cellStyle name="Обычный 2" xfId="4"/>
    <cellStyle name="Обычный 2 2" xfId="10"/>
    <cellStyle name="Обычный 2 3" xfId="2"/>
    <cellStyle name="Обычный 2 4" xfId="14"/>
    <cellStyle name="Обычный 3" xfId="1"/>
    <cellStyle name="Обычный 4" xfId="5"/>
    <cellStyle name="Обычный 4 2" xfId="11"/>
    <cellStyle name="Обычный 4 2 2" xfId="13"/>
    <cellStyle name="Обычный 5" xfId="7"/>
    <cellStyle name="Обычный 6" xfId="8"/>
    <cellStyle name="Обычный 7" xfId="9"/>
    <cellStyle name="Обычный 8" xfId="12"/>
    <cellStyle name="Финансовый" xfId="3" builtinId="3"/>
    <cellStyle name="Финансовый 2" xfId="6"/>
  </cellStyles>
  <dxfs count="0"/>
  <tableStyles count="0" defaultTableStyle="TableStyleMedium2" defaultPivotStyle="PivotStyleMedium9"/>
  <colors>
    <mruColors>
      <color rgb="FF0000FF"/>
      <color rgb="FFFFCCFF"/>
      <color rgb="FFCCFFFF"/>
      <color rgb="FFFFFFCC"/>
      <color rgb="FFFFF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Q195"/>
  <sheetViews>
    <sheetView zoomScaleNormal="100" workbookViewId="0">
      <pane xSplit="3" ySplit="3" topLeftCell="D113" activePane="bottomRight" state="frozen"/>
      <selection activeCell="G124" sqref="G124"/>
      <selection pane="topRight" activeCell="G124" sqref="G124"/>
      <selection pane="bottomLeft" activeCell="G124" sqref="G124"/>
      <selection pane="bottomRight" activeCell="G124" sqref="G124"/>
    </sheetView>
  </sheetViews>
  <sheetFormatPr defaultRowHeight="15" outlineLevelRow="3" x14ac:dyDescent="0.25"/>
  <cols>
    <col min="1" max="1" width="37.28515625" style="58" customWidth="1"/>
    <col min="2" max="2" width="8.42578125" style="257" customWidth="1"/>
    <col min="3" max="3" width="8.28515625" style="294" bestFit="1" customWidth="1"/>
    <col min="4" max="4" width="38.7109375" style="47" customWidth="1"/>
    <col min="5" max="5" width="12.140625" style="48" customWidth="1"/>
    <col min="6" max="6" width="14.28515625" style="49" customWidth="1"/>
    <col min="7" max="7" width="20.7109375" style="48" customWidth="1"/>
    <col min="8" max="9" width="7.140625" style="48" hidden="1" customWidth="1"/>
    <col min="10" max="10" width="15.5703125" style="60" customWidth="1"/>
    <col min="11" max="11" width="14.85546875" style="48" bestFit="1" customWidth="1"/>
    <col min="12" max="12" width="17.7109375" style="49" hidden="1" customWidth="1"/>
    <col min="13" max="14" width="12.5703125" style="48" hidden="1" customWidth="1"/>
    <col min="15" max="15" width="12.5703125" style="48" bestFit="1" customWidth="1"/>
    <col min="16" max="16" width="14.42578125" style="48" bestFit="1" customWidth="1"/>
    <col min="17" max="17" width="13.7109375" style="48" bestFit="1" customWidth="1"/>
    <col min="18" max="16384" width="9.140625" style="48"/>
  </cols>
  <sheetData>
    <row r="1" spans="1:17" x14ac:dyDescent="0.25">
      <c r="A1" s="979"/>
      <c r="B1" s="979" t="s">
        <v>564</v>
      </c>
      <c r="C1" s="985" t="s">
        <v>211</v>
      </c>
      <c r="D1" s="988"/>
      <c r="E1" s="985" t="s">
        <v>334</v>
      </c>
      <c r="F1" s="989" t="s">
        <v>335</v>
      </c>
      <c r="G1" s="979" t="s">
        <v>565</v>
      </c>
      <c r="H1" s="981" t="s">
        <v>566</v>
      </c>
      <c r="I1" s="981"/>
      <c r="J1" s="982">
        <v>2020</v>
      </c>
      <c r="K1" s="983"/>
    </row>
    <row r="2" spans="1:17" ht="15.75" customHeight="1" x14ac:dyDescent="0.25">
      <c r="A2" s="984"/>
      <c r="B2" s="984"/>
      <c r="C2" s="986"/>
      <c r="D2" s="988"/>
      <c r="E2" s="986"/>
      <c r="F2" s="990"/>
      <c r="G2" s="980"/>
      <c r="H2" s="296" t="s">
        <v>314</v>
      </c>
      <c r="I2" s="175" t="s">
        <v>315</v>
      </c>
      <c r="J2" s="296" t="s">
        <v>314</v>
      </c>
      <c r="K2" s="175" t="s">
        <v>315</v>
      </c>
      <c r="L2" s="49">
        <f>'Свод РЦВК 2020'!N40</f>
        <v>70569880.804247677</v>
      </c>
      <c r="M2" s="49">
        <f>L2-J3</f>
        <v>6203972.6022247598</v>
      </c>
      <c r="O2" s="49">
        <f>72790200-3665200-P3</f>
        <v>64365908.200000003</v>
      </c>
    </row>
    <row r="3" spans="1:17" x14ac:dyDescent="0.25">
      <c r="A3" s="980"/>
      <c r="B3" s="980"/>
      <c r="C3" s="987"/>
      <c r="D3" s="988"/>
      <c r="E3" s="987"/>
      <c r="F3" s="991"/>
      <c r="G3" s="297">
        <f>G4+G22+G178+G182+G185</f>
        <v>138243750.77682966</v>
      </c>
      <c r="H3" s="298">
        <v>0.65600000000000003</v>
      </c>
      <c r="I3" s="298">
        <f>100%-H3</f>
        <v>0.34399999999999997</v>
      </c>
      <c r="J3" s="297">
        <f>J4+J22+J178+J182+J185</f>
        <v>64365908.202022918</v>
      </c>
      <c r="K3" s="297">
        <f>K4+K22+K178+K182+K185</f>
        <v>61970618.701810531</v>
      </c>
      <c r="O3" s="49">
        <f>O2-J3</f>
        <v>-2.0229145884513855E-3</v>
      </c>
      <c r="P3" s="49">
        <v>4759091.8</v>
      </c>
      <c r="Q3" s="49"/>
    </row>
    <row r="4" spans="1:17" s="50" customFormat="1" x14ac:dyDescent="0.25">
      <c r="A4" s="299" t="s">
        <v>212</v>
      </c>
      <c r="B4" s="300"/>
      <c r="C4" s="301"/>
      <c r="D4" s="302"/>
      <c r="E4" s="303"/>
      <c r="F4" s="304"/>
      <c r="G4" s="304">
        <f>G5+G11+G20</f>
        <v>86616148.65048182</v>
      </c>
      <c r="H4" s="303"/>
      <c r="I4" s="303"/>
      <c r="J4" s="304">
        <f>J5+J11+J20+J21</f>
        <v>51589948.707485624</v>
      </c>
      <c r="K4" s="304">
        <f>K5+K11+K20</f>
        <v>28118976.079999998</v>
      </c>
      <c r="L4" s="305" t="s">
        <v>567</v>
      </c>
    </row>
    <row r="5" spans="1:17" s="52" customFormat="1" ht="14.25" outlineLevel="1" collapsed="1" x14ac:dyDescent="0.25">
      <c r="A5" s="306" t="s">
        <v>213</v>
      </c>
      <c r="B5" s="307">
        <v>111</v>
      </c>
      <c r="C5" s="308">
        <v>211</v>
      </c>
      <c r="D5" s="309"/>
      <c r="E5" s="310"/>
      <c r="F5" s="311">
        <f>N19</f>
        <v>1.0236484505973378</v>
      </c>
      <c r="G5" s="312">
        <f>SUM(G6:G10)</f>
        <v>65485827.056924909</v>
      </c>
      <c r="H5" s="310"/>
      <c r="I5" s="310"/>
      <c r="J5" s="313">
        <f>J6+J10</f>
        <v>39324429.839999996</v>
      </c>
      <c r="K5" s="313">
        <f>K6+K10</f>
        <v>20814129.109999999</v>
      </c>
      <c r="L5" s="314">
        <f>L6/12</f>
        <v>396591.01957333059</v>
      </c>
      <c r="M5" s="52" t="s">
        <v>568</v>
      </c>
    </row>
    <row r="6" spans="1:17" hidden="1" outlineLevel="2" x14ac:dyDescent="0.25">
      <c r="A6" s="315"/>
      <c r="B6" s="316"/>
      <c r="C6" s="175"/>
      <c r="D6" s="317" t="s">
        <v>569</v>
      </c>
      <c r="E6" s="155">
        <v>12</v>
      </c>
      <c r="F6" s="177">
        <v>4477366.01</v>
      </c>
      <c r="G6" s="911">
        <f>E6*F6*$F$5-G10</f>
        <v>54848985.346724212</v>
      </c>
      <c r="H6" s="155"/>
      <c r="I6" s="155"/>
      <c r="J6" s="976">
        <f>38968718.9-33063.34</f>
        <v>38935655.559999995</v>
      </c>
      <c r="K6" s="976">
        <v>20621347.57</v>
      </c>
      <c r="L6" s="318">
        <f>SUM(L7:L8)</f>
        <v>4759092.2348799668</v>
      </c>
      <c r="M6" s="49">
        <v>55959500</v>
      </c>
      <c r="N6" s="319">
        <v>1.302</v>
      </c>
      <c r="O6" s="49"/>
      <c r="P6" s="49"/>
    </row>
    <row r="7" spans="1:17" hidden="1" outlineLevel="2" x14ac:dyDescent="0.25">
      <c r="A7" s="315"/>
      <c r="B7" s="316"/>
      <c r="C7" s="175"/>
      <c r="D7" s="317" t="s">
        <v>214</v>
      </c>
      <c r="E7" s="155">
        <v>12</v>
      </c>
      <c r="F7" s="177">
        <v>587692.85999999964</v>
      </c>
      <c r="G7" s="911">
        <f>E7*F7*$F$5</f>
        <v>7219090.6267934134</v>
      </c>
      <c r="H7" s="155"/>
      <c r="I7" s="155"/>
      <c r="J7" s="977"/>
      <c r="K7" s="977"/>
      <c r="L7" s="318">
        <f>M7-J5</f>
        <v>3655216.857388638</v>
      </c>
      <c r="M7" s="49">
        <f>M6*N7/N6</f>
        <v>42979646.697388634</v>
      </c>
      <c r="N7" s="319">
        <v>1</v>
      </c>
      <c r="O7" s="49"/>
      <c r="P7" s="49"/>
    </row>
    <row r="8" spans="1:17" hidden="1" outlineLevel="2" x14ac:dyDescent="0.25">
      <c r="A8" s="315"/>
      <c r="B8" s="316"/>
      <c r="C8" s="175"/>
      <c r="D8" s="317" t="s">
        <v>400</v>
      </c>
      <c r="E8" s="155">
        <v>1</v>
      </c>
      <c r="F8" s="177">
        <v>1350069.6299999997</v>
      </c>
      <c r="G8" s="177">
        <f>E8*F8</f>
        <v>1350069.6299999997</v>
      </c>
      <c r="H8" s="155"/>
      <c r="I8" s="155"/>
      <c r="J8" s="977"/>
      <c r="K8" s="977"/>
      <c r="L8" s="318">
        <f>M8-J20</f>
        <v>1103875.3774913289</v>
      </c>
      <c r="M8" s="49">
        <f>M6-M7</f>
        <v>12979853.302611366</v>
      </c>
      <c r="N8" s="319">
        <v>0.30199999999999999</v>
      </c>
      <c r="O8" s="49"/>
      <c r="P8" s="49"/>
    </row>
    <row r="9" spans="1:17" hidden="1" outlineLevel="2" x14ac:dyDescent="0.25">
      <c r="A9" s="315"/>
      <c r="B9" s="316"/>
      <c r="C9" s="175"/>
      <c r="D9" s="317" t="s">
        <v>402</v>
      </c>
      <c r="E9" s="155">
        <v>12</v>
      </c>
      <c r="F9" s="177">
        <v>156114.91200000007</v>
      </c>
      <c r="G9" s="911">
        <f>E9*F9*$F$5</f>
        <v>1917681.4534072776</v>
      </c>
      <c r="H9" s="155"/>
      <c r="I9" s="155"/>
      <c r="J9" s="978"/>
      <c r="K9" s="978"/>
      <c r="M9" s="49"/>
      <c r="N9" s="319"/>
      <c r="O9" s="49"/>
      <c r="P9" s="49"/>
    </row>
    <row r="10" spans="1:17" ht="30" hidden="1" outlineLevel="2" x14ac:dyDescent="0.25">
      <c r="A10" s="315" t="s">
        <v>570</v>
      </c>
      <c r="B10" s="316">
        <v>111</v>
      </c>
      <c r="C10" s="175">
        <v>266</v>
      </c>
      <c r="D10" s="317" t="s">
        <v>571</v>
      </c>
      <c r="E10" s="155"/>
      <c r="F10" s="177">
        <v>150000</v>
      </c>
      <c r="G10" s="911">
        <f>F10</f>
        <v>150000</v>
      </c>
      <c r="H10" s="155"/>
      <c r="I10" s="155"/>
      <c r="J10" s="150">
        <v>388774.28</v>
      </c>
      <c r="K10" s="150">
        <v>192781.54</v>
      </c>
      <c r="M10" s="49"/>
      <c r="N10" s="319"/>
      <c r="O10" s="49"/>
      <c r="P10" s="49"/>
    </row>
    <row r="11" spans="1:17" s="52" customFormat="1" outlineLevel="1" collapsed="1" x14ac:dyDescent="0.25">
      <c r="A11" s="306" t="s">
        <v>215</v>
      </c>
      <c r="B11" s="307">
        <v>112</v>
      </c>
      <c r="C11" s="308"/>
      <c r="D11" s="309"/>
      <c r="E11" s="310"/>
      <c r="F11" s="312"/>
      <c r="G11" s="312">
        <f>SUM(G12:G19)</f>
        <v>1353601.8223655915</v>
      </c>
      <c r="H11" s="310"/>
      <c r="I11" s="310"/>
      <c r="J11" s="313">
        <f>SUM(J12:J19)</f>
        <v>276401.82236559136</v>
      </c>
      <c r="K11" s="313">
        <f>SUM(K12:K19)</f>
        <v>1077200</v>
      </c>
      <c r="L11" s="51"/>
      <c r="M11" s="49">
        <v>55959500</v>
      </c>
      <c r="N11" s="319">
        <v>0.65600000000000003</v>
      </c>
      <c r="O11" s="51"/>
      <c r="P11" s="51"/>
    </row>
    <row r="12" spans="1:17" hidden="1" outlineLevel="2" x14ac:dyDescent="0.25">
      <c r="A12" s="315"/>
      <c r="B12" s="316"/>
      <c r="C12" s="175">
        <v>214</v>
      </c>
      <c r="D12" s="317" t="s">
        <v>572</v>
      </c>
      <c r="E12" s="155">
        <v>28</v>
      </c>
      <c r="F12" s="177">
        <v>17857.142857142859</v>
      </c>
      <c r="G12" s="177">
        <f>E12*F12</f>
        <v>500000.00000000006</v>
      </c>
      <c r="H12" s="155"/>
      <c r="I12" s="155"/>
      <c r="J12" s="150"/>
      <c r="K12" s="177">
        <f>G12</f>
        <v>500000.00000000006</v>
      </c>
      <c r="M12" s="49">
        <f>M11*N12/N11</f>
        <v>29344615.853658535</v>
      </c>
      <c r="N12" s="319">
        <v>0.34399999999999997</v>
      </c>
      <c r="O12" s="49"/>
      <c r="P12" s="49"/>
    </row>
    <row r="13" spans="1:17" hidden="1" outlineLevel="2" x14ac:dyDescent="0.25">
      <c r="A13" s="315"/>
      <c r="B13" s="316"/>
      <c r="C13" s="175">
        <v>214</v>
      </c>
      <c r="D13" s="317" t="s">
        <v>573</v>
      </c>
      <c r="E13" s="155">
        <v>30</v>
      </c>
      <c r="F13" s="177">
        <f>G13/E13</f>
        <v>1666.6666666666667</v>
      </c>
      <c r="G13" s="177">
        <v>50000</v>
      </c>
      <c r="H13" s="155"/>
      <c r="I13" s="155"/>
      <c r="J13" s="150">
        <f>G13*H3</f>
        <v>32800</v>
      </c>
      <c r="K13" s="177">
        <f t="shared" ref="K13:K19" si="0">G13-J13</f>
        <v>17200</v>
      </c>
      <c r="L13" s="320" t="s">
        <v>574</v>
      </c>
      <c r="M13" s="49">
        <f>M11*N13/N11</f>
        <v>85304115.853658527</v>
      </c>
      <c r="N13" s="319">
        <v>1</v>
      </c>
    </row>
    <row r="14" spans="1:17" hidden="1" outlineLevel="2" x14ac:dyDescent="0.25">
      <c r="A14" s="315"/>
      <c r="B14" s="316"/>
      <c r="C14" s="175">
        <v>212</v>
      </c>
      <c r="D14" s="317" t="s">
        <v>216</v>
      </c>
      <c r="E14" s="155">
        <f>G14/F14</f>
        <v>986</v>
      </c>
      <c r="F14" s="177">
        <v>300</v>
      </c>
      <c r="G14" s="177">
        <f>J14+K14</f>
        <v>295800</v>
      </c>
      <c r="H14" s="155"/>
      <c r="I14" s="155"/>
      <c r="J14" s="150">
        <v>115800</v>
      </c>
      <c r="K14" s="177">
        <v>180000</v>
      </c>
      <c r="L14" s="320"/>
      <c r="M14" s="49"/>
      <c r="N14" s="319"/>
    </row>
    <row r="15" spans="1:17" hidden="1" outlineLevel="2" x14ac:dyDescent="0.25">
      <c r="A15" s="315"/>
      <c r="B15" s="316"/>
      <c r="C15" s="175">
        <v>226</v>
      </c>
      <c r="D15" s="317" t="s">
        <v>217</v>
      </c>
      <c r="E15" s="155">
        <v>30</v>
      </c>
      <c r="F15" s="177">
        <f>G15/E15</f>
        <v>3333.3333333333335</v>
      </c>
      <c r="G15" s="321">
        <v>100000</v>
      </c>
      <c r="H15" s="155"/>
      <c r="I15" s="155"/>
      <c r="J15" s="150">
        <v>20000</v>
      </c>
      <c r="K15" s="177">
        <f t="shared" si="0"/>
        <v>80000</v>
      </c>
      <c r="L15" s="49">
        <f>M15*N11</f>
        <v>54666716.847317599</v>
      </c>
      <c r="M15" s="49">
        <v>83333409.828228042</v>
      </c>
    </row>
    <row r="16" spans="1:17" hidden="1" outlineLevel="2" x14ac:dyDescent="0.25">
      <c r="A16" s="315"/>
      <c r="B16" s="316"/>
      <c r="C16" s="175">
        <v>226</v>
      </c>
      <c r="D16" s="317" t="s">
        <v>316</v>
      </c>
      <c r="E16" s="155">
        <v>30</v>
      </c>
      <c r="F16" s="177">
        <f>G16/E16</f>
        <v>11666.666666666666</v>
      </c>
      <c r="G16" s="321">
        <f>J16+K16</f>
        <v>350000</v>
      </c>
      <c r="H16" s="155"/>
      <c r="I16" s="155"/>
      <c r="J16" s="150">
        <v>100000</v>
      </c>
      <c r="K16" s="177">
        <v>250000</v>
      </c>
      <c r="L16" s="49">
        <f>L15-M11</f>
        <v>-1292783.1526824012</v>
      </c>
      <c r="M16" s="318">
        <f>M13-M15</f>
        <v>1970706.0254304856</v>
      </c>
    </row>
    <row r="17" spans="1:17" hidden="1" outlineLevel="2" x14ac:dyDescent="0.25">
      <c r="A17" s="315"/>
      <c r="B17" s="316"/>
      <c r="C17" s="175">
        <v>226</v>
      </c>
      <c r="D17" s="317" t="s">
        <v>575</v>
      </c>
      <c r="E17" s="155">
        <v>12</v>
      </c>
      <c r="F17" s="177">
        <f>G17/E17</f>
        <v>336.6635304659498</v>
      </c>
      <c r="G17" s="322">
        <v>4039.9623655913979</v>
      </c>
      <c r="H17" s="155"/>
      <c r="I17" s="155"/>
      <c r="J17" s="150">
        <f>G17</f>
        <v>4039.9623655913979</v>
      </c>
      <c r="K17" s="177">
        <f t="shared" si="0"/>
        <v>0</v>
      </c>
    </row>
    <row r="18" spans="1:17" hidden="1" outlineLevel="2" x14ac:dyDescent="0.25">
      <c r="A18" s="493"/>
      <c r="B18" s="887"/>
      <c r="C18" s="602">
        <v>226</v>
      </c>
      <c r="D18" s="888" t="s">
        <v>1297</v>
      </c>
      <c r="E18" s="490"/>
      <c r="F18" s="565"/>
      <c r="G18" s="891">
        <v>50000</v>
      </c>
      <c r="H18" s="490"/>
      <c r="I18" s="490"/>
      <c r="J18" s="481"/>
      <c r="K18" s="565">
        <v>50000</v>
      </c>
      <c r="N18" s="49">
        <f>J5+J20</f>
        <v>51200407.765120029</v>
      </c>
    </row>
    <row r="19" spans="1:17" ht="28.5" hidden="1" customHeight="1" outlineLevel="2" x14ac:dyDescent="0.25">
      <c r="A19" s="315"/>
      <c r="B19" s="316"/>
      <c r="C19" s="175">
        <v>267</v>
      </c>
      <c r="D19" s="317" t="s">
        <v>576</v>
      </c>
      <c r="E19" s="155">
        <v>12</v>
      </c>
      <c r="F19" s="177">
        <v>313.48833333333334</v>
      </c>
      <c r="G19" s="177">
        <f>F19*E19</f>
        <v>3761.86</v>
      </c>
      <c r="H19" s="155"/>
      <c r="I19" s="155"/>
      <c r="J19" s="150">
        <f>G19</f>
        <v>3761.86</v>
      </c>
      <c r="K19" s="177">
        <f t="shared" si="0"/>
        <v>0</v>
      </c>
      <c r="N19" s="48">
        <v>1.0236484505973378</v>
      </c>
    </row>
    <row r="20" spans="1:17" s="52" customFormat="1" ht="28.5" outlineLevel="1" x14ac:dyDescent="0.25">
      <c r="A20" s="306" t="s">
        <v>401</v>
      </c>
      <c r="B20" s="307">
        <v>119</v>
      </c>
      <c r="C20" s="308">
        <v>213</v>
      </c>
      <c r="D20" s="309"/>
      <c r="E20" s="310"/>
      <c r="F20" s="312"/>
      <c r="G20" s="312">
        <f>G5*30.2%</f>
        <v>19776719.771191321</v>
      </c>
      <c r="H20" s="310"/>
      <c r="I20" s="310"/>
      <c r="J20" s="313">
        <v>11875977.925120037</v>
      </c>
      <c r="K20" s="312">
        <v>6227646.9699999997</v>
      </c>
      <c r="L20" s="51"/>
      <c r="M20" s="49">
        <f>G9*1.0302</f>
        <v>1975595.4333001773</v>
      </c>
    </row>
    <row r="21" spans="1:17" s="52" customFormat="1" ht="28.5" outlineLevel="1" x14ac:dyDescent="0.25">
      <c r="A21" s="919" t="s">
        <v>1363</v>
      </c>
      <c r="B21" s="920">
        <v>321</v>
      </c>
      <c r="C21" s="921">
        <v>264</v>
      </c>
      <c r="D21" s="922"/>
      <c r="E21" s="923"/>
      <c r="F21" s="924"/>
      <c r="G21" s="924">
        <f>J21+K21</f>
        <v>113139.12</v>
      </c>
      <c r="H21" s="923"/>
      <c r="I21" s="923"/>
      <c r="J21" s="925">
        <v>113139.12</v>
      </c>
      <c r="K21" s="924"/>
      <c r="L21" s="51"/>
      <c r="M21" s="49"/>
    </row>
    <row r="22" spans="1:17" s="50" customFormat="1" x14ac:dyDescent="0.25">
      <c r="A22" s="299" t="s">
        <v>218</v>
      </c>
      <c r="B22" s="300"/>
      <c r="C22" s="301"/>
      <c r="D22" s="302"/>
      <c r="E22" s="303"/>
      <c r="F22" s="304"/>
      <c r="G22" s="304">
        <f t="shared" ref="G22:J22" si="1">G23+G36+G40+G65+G69+G93+G138+G143+G146+G151+G154+G156+G160+G176</f>
        <v>50423734.126347825</v>
      </c>
      <c r="H22" s="304">
        <f t="shared" si="1"/>
        <v>0</v>
      </c>
      <c r="I22" s="304">
        <f t="shared" si="1"/>
        <v>0</v>
      </c>
      <c r="J22" s="304">
        <f t="shared" si="1"/>
        <v>11827992.686537296</v>
      </c>
      <c r="K22" s="304">
        <f>K23+K36+K40+K65+K69+K93+K138+K143+K146+K151+K154+K156+K160+K176</f>
        <v>33595741.429810531</v>
      </c>
      <c r="L22" s="199"/>
      <c r="O22" s="49">
        <v>33582241.43</v>
      </c>
      <c r="P22" s="49">
        <f>O22-K22+13500</f>
        <v>1.8946826457977295E-4</v>
      </c>
      <c r="Q22" s="199">
        <f>G22-J22-K22</f>
        <v>5000000.0099999979</v>
      </c>
    </row>
    <row r="23" spans="1:17" outlineLevel="1" collapsed="1" x14ac:dyDescent="0.25">
      <c r="A23" s="306" t="s">
        <v>207</v>
      </c>
      <c r="B23" s="307"/>
      <c r="C23" s="308">
        <v>221</v>
      </c>
      <c r="D23" s="317"/>
      <c r="E23" s="155"/>
      <c r="F23" s="177"/>
      <c r="G23" s="312">
        <f>SUM(G24:G35)</f>
        <v>1413456.97</v>
      </c>
      <c r="H23" s="310"/>
      <c r="I23" s="310"/>
      <c r="J23" s="313">
        <f>SUM(J24:J35)</f>
        <v>391508.52</v>
      </c>
      <c r="K23" s="313">
        <f>SUM(K24:K35)</f>
        <v>1021948.45</v>
      </c>
      <c r="L23" s="49">
        <f>G23*H3</f>
        <v>927227.77231999999</v>
      </c>
    </row>
    <row r="24" spans="1:17" hidden="1" outlineLevel="2" x14ac:dyDescent="0.25">
      <c r="A24" s="315" t="s">
        <v>219</v>
      </c>
      <c r="B24" s="316"/>
      <c r="C24" s="175"/>
      <c r="D24" s="317" t="s">
        <v>224</v>
      </c>
      <c r="E24" s="323">
        <v>12</v>
      </c>
      <c r="F24" s="322">
        <f t="shared" ref="F24:F33" si="2">G24/E24</f>
        <v>36994.159999999996</v>
      </c>
      <c r="G24" s="322">
        <v>443929.92</v>
      </c>
      <c r="H24" s="155"/>
      <c r="I24" s="155"/>
      <c r="J24" s="150"/>
      <c r="K24" s="177">
        <f>G24</f>
        <v>443929.92</v>
      </c>
    </row>
    <row r="25" spans="1:17" hidden="1" outlineLevel="2" x14ac:dyDescent="0.25">
      <c r="A25" s="315" t="s">
        <v>219</v>
      </c>
      <c r="B25" s="316"/>
      <c r="C25" s="175"/>
      <c r="D25" s="317" t="s">
        <v>220</v>
      </c>
      <c r="E25" s="323">
        <v>12</v>
      </c>
      <c r="F25" s="322">
        <f t="shared" si="2"/>
        <v>1620</v>
      </c>
      <c r="G25" s="322">
        <v>19440</v>
      </c>
      <c r="H25" s="155"/>
      <c r="I25" s="155"/>
      <c r="J25" s="150"/>
      <c r="K25" s="177">
        <f t="shared" ref="K25:K29" si="3">G25</f>
        <v>19440</v>
      </c>
    </row>
    <row r="26" spans="1:17" hidden="1" outlineLevel="2" x14ac:dyDescent="0.25">
      <c r="A26" s="315" t="s">
        <v>219</v>
      </c>
      <c r="B26" s="316"/>
      <c r="C26" s="175"/>
      <c r="D26" s="317" t="s">
        <v>221</v>
      </c>
      <c r="E26" s="323">
        <v>12</v>
      </c>
      <c r="F26" s="322">
        <f t="shared" si="2"/>
        <v>1860</v>
      </c>
      <c r="G26" s="322">
        <v>22320</v>
      </c>
      <c r="H26" s="155"/>
      <c r="I26" s="155"/>
      <c r="J26" s="150"/>
      <c r="K26" s="177">
        <f t="shared" si="3"/>
        <v>22320</v>
      </c>
    </row>
    <row r="27" spans="1:17" hidden="1" outlineLevel="2" x14ac:dyDescent="0.25">
      <c r="A27" s="315" t="s">
        <v>219</v>
      </c>
      <c r="B27" s="316"/>
      <c r="C27" s="175"/>
      <c r="D27" s="317" t="s">
        <v>222</v>
      </c>
      <c r="E27" s="323">
        <v>12</v>
      </c>
      <c r="F27" s="322">
        <f t="shared" si="2"/>
        <v>840</v>
      </c>
      <c r="G27" s="322">
        <v>10080</v>
      </c>
      <c r="H27" s="155"/>
      <c r="I27" s="155"/>
      <c r="J27" s="150"/>
      <c r="K27" s="177">
        <f t="shared" si="3"/>
        <v>10080</v>
      </c>
    </row>
    <row r="28" spans="1:17" hidden="1" outlineLevel="2" x14ac:dyDescent="0.25">
      <c r="A28" s="315" t="s">
        <v>219</v>
      </c>
      <c r="B28" s="316"/>
      <c r="C28" s="175"/>
      <c r="D28" s="317" t="s">
        <v>577</v>
      </c>
      <c r="E28" s="323">
        <v>12</v>
      </c>
      <c r="F28" s="322">
        <f t="shared" si="2"/>
        <v>720</v>
      </c>
      <c r="G28" s="322">
        <v>8640</v>
      </c>
      <c r="H28" s="155"/>
      <c r="I28" s="155"/>
      <c r="J28" s="150"/>
      <c r="K28" s="177">
        <f t="shared" si="3"/>
        <v>8640</v>
      </c>
    </row>
    <row r="29" spans="1:17" ht="24" hidden="1" outlineLevel="2" x14ac:dyDescent="0.25">
      <c r="A29" s="315" t="s">
        <v>219</v>
      </c>
      <c r="B29" s="316"/>
      <c r="C29" s="175"/>
      <c r="D29" s="317" t="s">
        <v>578</v>
      </c>
      <c r="E29" s="323">
        <v>12</v>
      </c>
      <c r="F29" s="322">
        <f t="shared" si="2"/>
        <v>5500</v>
      </c>
      <c r="G29" s="322">
        <v>66000</v>
      </c>
      <c r="H29" s="155"/>
      <c r="I29" s="155"/>
      <c r="J29" s="150"/>
      <c r="K29" s="177">
        <f t="shared" si="3"/>
        <v>66000</v>
      </c>
    </row>
    <row r="30" spans="1:17" hidden="1" outlineLevel="2" x14ac:dyDescent="0.25">
      <c r="A30" s="315" t="s">
        <v>223</v>
      </c>
      <c r="B30" s="316"/>
      <c r="C30" s="175"/>
      <c r="D30" s="317" t="s">
        <v>224</v>
      </c>
      <c r="E30" s="323">
        <v>12</v>
      </c>
      <c r="F30" s="322">
        <f t="shared" si="2"/>
        <v>24770.499166666665</v>
      </c>
      <c r="G30" s="322">
        <f>247245.99+50000</f>
        <v>297245.99</v>
      </c>
      <c r="H30" s="155"/>
      <c r="I30" s="155"/>
      <c r="J30" s="150">
        <f>G30</f>
        <v>297245.99</v>
      </c>
      <c r="K30" s="155"/>
    </row>
    <row r="31" spans="1:17" hidden="1" outlineLevel="2" x14ac:dyDescent="0.25">
      <c r="A31" s="315" t="s">
        <v>225</v>
      </c>
      <c r="B31" s="316"/>
      <c r="C31" s="175"/>
      <c r="D31" s="317" t="s">
        <v>224</v>
      </c>
      <c r="E31" s="323">
        <v>12</v>
      </c>
      <c r="F31" s="322">
        <f t="shared" si="2"/>
        <v>1833.3333333333333</v>
      </c>
      <c r="G31" s="322">
        <v>22000</v>
      </c>
      <c r="H31" s="155"/>
      <c r="I31" s="155"/>
      <c r="J31" s="150">
        <f>G31</f>
        <v>22000</v>
      </c>
      <c r="K31" s="155"/>
    </row>
    <row r="32" spans="1:17" hidden="1" outlineLevel="2" x14ac:dyDescent="0.25">
      <c r="A32" s="315" t="s">
        <v>226</v>
      </c>
      <c r="B32" s="316"/>
      <c r="C32" s="175"/>
      <c r="D32" s="317" t="s">
        <v>227</v>
      </c>
      <c r="E32" s="323">
        <v>12</v>
      </c>
      <c r="F32" s="322">
        <f t="shared" si="2"/>
        <v>20291.666666666668</v>
      </c>
      <c r="G32" s="322">
        <f>230000+13500</f>
        <v>243500</v>
      </c>
      <c r="H32" s="155"/>
      <c r="I32" s="155"/>
      <c r="J32" s="150"/>
      <c r="K32" s="177">
        <f>G32</f>
        <v>243500</v>
      </c>
    </row>
    <row r="33" spans="1:12" hidden="1" outlineLevel="2" x14ac:dyDescent="0.25">
      <c r="A33" s="315" t="s">
        <v>228</v>
      </c>
      <c r="B33" s="316"/>
      <c r="C33" s="175"/>
      <c r="D33" s="317" t="s">
        <v>579</v>
      </c>
      <c r="E33" s="323">
        <v>12</v>
      </c>
      <c r="F33" s="322">
        <f t="shared" si="2"/>
        <v>333.33333333333331</v>
      </c>
      <c r="G33" s="322">
        <v>4000</v>
      </c>
      <c r="H33" s="155"/>
      <c r="I33" s="155"/>
      <c r="J33" s="150">
        <f t="shared" ref="J33" si="4">G33*$H$3</f>
        <v>2624</v>
      </c>
      <c r="K33" s="177">
        <f>G33-J33</f>
        <v>1376</v>
      </c>
    </row>
    <row r="34" spans="1:12" hidden="1" outlineLevel="2" x14ac:dyDescent="0.25">
      <c r="A34" s="315" t="s">
        <v>580</v>
      </c>
      <c r="B34" s="316"/>
      <c r="C34" s="175"/>
      <c r="D34" s="317" t="s">
        <v>581</v>
      </c>
      <c r="E34" s="324"/>
      <c r="F34" s="325"/>
      <c r="G34" s="322">
        <v>4038.53</v>
      </c>
      <c r="H34" s="155"/>
      <c r="I34" s="155"/>
      <c r="J34" s="150">
        <f>G34</f>
        <v>4038.53</v>
      </c>
      <c r="K34" s="155"/>
    </row>
    <row r="35" spans="1:12" hidden="1" outlineLevel="2" x14ac:dyDescent="0.25">
      <c r="A35" s="315" t="s">
        <v>229</v>
      </c>
      <c r="B35" s="316"/>
      <c r="C35" s="175"/>
      <c r="D35" s="317"/>
      <c r="E35" s="323">
        <v>12</v>
      </c>
      <c r="F35" s="322">
        <f>G35/E35</f>
        <v>22688.54416666667</v>
      </c>
      <c r="G35" s="322">
        <f>J35+K35</f>
        <v>272262.53000000003</v>
      </c>
      <c r="H35" s="155"/>
      <c r="I35" s="155"/>
      <c r="J35" s="150">
        <f>100000*$H$3</f>
        <v>65600</v>
      </c>
      <c r="K35" s="177">
        <f>208038.53-K33</f>
        <v>206662.53</v>
      </c>
    </row>
    <row r="36" spans="1:12" outlineLevel="1" collapsed="1" x14ac:dyDescent="0.25">
      <c r="A36" s="306" t="s">
        <v>208</v>
      </c>
      <c r="B36" s="307"/>
      <c r="C36" s="308">
        <v>222</v>
      </c>
      <c r="D36" s="317"/>
      <c r="E36" s="155"/>
      <c r="F36" s="177"/>
      <c r="G36" s="312">
        <f>SUM(G37:G39)</f>
        <v>125450.88</v>
      </c>
      <c r="H36" s="312"/>
      <c r="I36" s="312"/>
      <c r="J36" s="313">
        <f>SUM(J37:J39)</f>
        <v>5450.88</v>
      </c>
      <c r="K36" s="312">
        <f>G36-J36</f>
        <v>120000</v>
      </c>
    </row>
    <row r="37" spans="1:12" hidden="1" outlineLevel="2" x14ac:dyDescent="0.25">
      <c r="A37" s="315" t="s">
        <v>230</v>
      </c>
      <c r="B37" s="316"/>
      <c r="C37" s="175"/>
      <c r="D37" s="317" t="s">
        <v>582</v>
      </c>
      <c r="E37" s="155">
        <v>6</v>
      </c>
      <c r="F37" s="177">
        <f>G37/E37</f>
        <v>908.48</v>
      </c>
      <c r="G37" s="177">
        <v>5450.88</v>
      </c>
      <c r="H37" s="155"/>
      <c r="I37" s="155"/>
      <c r="J37" s="150">
        <f>G37</f>
        <v>5450.88</v>
      </c>
      <c r="K37" s="177"/>
    </row>
    <row r="38" spans="1:12" ht="30" hidden="1" outlineLevel="2" x14ac:dyDescent="0.25">
      <c r="A38" s="315" t="s">
        <v>231</v>
      </c>
      <c r="B38" s="316"/>
      <c r="C38" s="175"/>
      <c r="D38" s="317"/>
      <c r="E38" s="155">
        <v>12</v>
      </c>
      <c r="F38" s="177">
        <f>G38/E38</f>
        <v>3333.3333333333335</v>
      </c>
      <c r="G38" s="177">
        <v>40000</v>
      </c>
      <c r="H38" s="155"/>
      <c r="I38" s="155"/>
      <c r="J38" s="150"/>
      <c r="K38" s="177">
        <f>G38-J38</f>
        <v>40000</v>
      </c>
    </row>
    <row r="39" spans="1:12" ht="30" hidden="1" outlineLevel="2" x14ac:dyDescent="0.25">
      <c r="A39" s="315" t="s">
        <v>232</v>
      </c>
      <c r="B39" s="316"/>
      <c r="C39" s="175"/>
      <c r="D39" s="317" t="s">
        <v>250</v>
      </c>
      <c r="E39" s="155">
        <v>12</v>
      </c>
      <c r="F39" s="177">
        <f>G39/E39</f>
        <v>6666.666666666667</v>
      </c>
      <c r="G39" s="177">
        <v>80000</v>
      </c>
      <c r="H39" s="155"/>
      <c r="I39" s="155"/>
      <c r="J39" s="150"/>
      <c r="K39" s="177">
        <f>G39-J39</f>
        <v>80000</v>
      </c>
    </row>
    <row r="40" spans="1:12" outlineLevel="1" collapsed="1" x14ac:dyDescent="0.25">
      <c r="A40" s="306" t="s">
        <v>206</v>
      </c>
      <c r="B40" s="307"/>
      <c r="C40" s="308">
        <v>223</v>
      </c>
      <c r="D40" s="317"/>
      <c r="E40" s="155"/>
      <c r="F40" s="177"/>
      <c r="G40" s="312">
        <f>SUM(G41:G44)+G62+G63+G64+G61+G60</f>
        <v>9315597.8900000006</v>
      </c>
      <c r="H40" s="310"/>
      <c r="I40" s="310"/>
      <c r="J40" s="313">
        <f>SUM(J41:J64)</f>
        <v>7917307.1099999994</v>
      </c>
      <c r="K40" s="313">
        <f>SUM(K41:K64)</f>
        <v>1398290.78</v>
      </c>
    </row>
    <row r="41" spans="1:12" hidden="1" outlineLevel="2" x14ac:dyDescent="0.25">
      <c r="A41" s="315" t="s">
        <v>233</v>
      </c>
      <c r="B41" s="316"/>
      <c r="C41" s="175"/>
      <c r="D41" s="317"/>
      <c r="E41" s="322">
        <v>1014116.7</v>
      </c>
      <c r="F41" s="322">
        <f>G41/E41</f>
        <v>7.1362658656543179</v>
      </c>
      <c r="G41" s="322">
        <f>J41+K41</f>
        <v>7237006.3899999997</v>
      </c>
      <c r="H41" s="155"/>
      <c r="I41" s="155"/>
      <c r="J41" s="150">
        <v>6767082.6799999997</v>
      </c>
      <c r="K41" s="177">
        <v>469923.71</v>
      </c>
    </row>
    <row r="42" spans="1:12" hidden="1" outlineLevel="2" x14ac:dyDescent="0.25">
      <c r="A42" s="315" t="s">
        <v>234</v>
      </c>
      <c r="B42" s="316"/>
      <c r="C42" s="175"/>
      <c r="D42" s="317"/>
      <c r="E42" s="322">
        <v>319.85000000000002</v>
      </c>
      <c r="F42" s="322">
        <f>G42/E42</f>
        <v>5042.4836954822576</v>
      </c>
      <c r="G42" s="322">
        <f>J42+K42</f>
        <v>1612838.4100000001</v>
      </c>
      <c r="H42" s="155"/>
      <c r="I42" s="155"/>
      <c r="J42" s="150">
        <v>1150224.4300000002</v>
      </c>
      <c r="K42" s="177">
        <v>462613.98</v>
      </c>
    </row>
    <row r="43" spans="1:12" hidden="1" outlineLevel="2" x14ac:dyDescent="0.25">
      <c r="A43" s="315" t="s">
        <v>583</v>
      </c>
      <c r="B43" s="316"/>
      <c r="C43" s="175"/>
      <c r="D43" s="317"/>
      <c r="E43" s="322">
        <v>1771.6</v>
      </c>
      <c r="F43" s="322">
        <f>G43/E43</f>
        <v>48.561537593136158</v>
      </c>
      <c r="G43" s="322">
        <f>K43</f>
        <v>86031.62000000001</v>
      </c>
      <c r="H43" s="155"/>
      <c r="I43" s="155"/>
      <c r="J43" s="150"/>
      <c r="K43" s="177">
        <v>86031.62000000001</v>
      </c>
    </row>
    <row r="44" spans="1:12" hidden="1" outlineLevel="2" collapsed="1" x14ac:dyDescent="0.25">
      <c r="A44" s="315" t="s">
        <v>245</v>
      </c>
      <c r="B44" s="316"/>
      <c r="C44" s="175"/>
      <c r="D44" s="329" t="s">
        <v>247</v>
      </c>
      <c r="E44" s="155">
        <v>12</v>
      </c>
      <c r="F44" s="177">
        <f>G44/E44</f>
        <v>6115.7833333333328</v>
      </c>
      <c r="G44" s="177">
        <f>K44</f>
        <v>73389.399999999994</v>
      </c>
      <c r="H44" s="155"/>
      <c r="I44" s="155"/>
      <c r="J44" s="150"/>
      <c r="K44" s="177">
        <v>73389.399999999994</v>
      </c>
    </row>
    <row r="45" spans="1:12" hidden="1" outlineLevel="3" x14ac:dyDescent="0.25">
      <c r="A45" s="326" t="s">
        <v>248</v>
      </c>
      <c r="B45" s="327"/>
      <c r="C45" s="328"/>
      <c r="D45" s="329" t="s">
        <v>247</v>
      </c>
      <c r="E45" s="155">
        <v>12</v>
      </c>
      <c r="F45" s="330">
        <f>G45/E45</f>
        <v>1805.6019999999996</v>
      </c>
      <c r="G45" s="177">
        <v>21667.223999999995</v>
      </c>
      <c r="H45" s="177"/>
      <c r="I45" s="177"/>
      <c r="J45" s="248"/>
      <c r="K45" s="155"/>
      <c r="L45" s="49" t="s">
        <v>584</v>
      </c>
    </row>
    <row r="46" spans="1:12" hidden="1" outlineLevel="3" x14ac:dyDescent="0.25">
      <c r="A46" s="331" t="s">
        <v>585</v>
      </c>
      <c r="B46" s="327"/>
      <c r="C46" s="328"/>
      <c r="D46" s="329" t="s">
        <v>247</v>
      </c>
      <c r="E46" s="155">
        <v>12</v>
      </c>
      <c r="F46" s="330">
        <f t="shared" ref="F46:F64" si="5">G46/E46</f>
        <v>88.456999999999994</v>
      </c>
      <c r="G46" s="177">
        <v>1061.4839999999999</v>
      </c>
      <c r="H46" s="177"/>
      <c r="I46" s="177"/>
      <c r="J46" s="248"/>
      <c r="K46" s="155"/>
    </row>
    <row r="47" spans="1:12" hidden="1" outlineLevel="3" x14ac:dyDescent="0.25">
      <c r="A47" s="331" t="s">
        <v>385</v>
      </c>
      <c r="B47" s="327"/>
      <c r="C47" s="328"/>
      <c r="D47" s="329" t="s">
        <v>247</v>
      </c>
      <c r="E47" s="155">
        <v>12</v>
      </c>
      <c r="F47" s="330">
        <f t="shared" si="5"/>
        <v>1805.6019999999996</v>
      </c>
      <c r="G47" s="177">
        <v>21667.223999999995</v>
      </c>
      <c r="H47" s="177"/>
      <c r="I47" s="177"/>
      <c r="J47" s="248"/>
      <c r="K47" s="155"/>
    </row>
    <row r="48" spans="1:12" hidden="1" outlineLevel="3" x14ac:dyDescent="0.25">
      <c r="A48" s="326" t="s">
        <v>250</v>
      </c>
      <c r="B48" s="327"/>
      <c r="C48" s="328"/>
      <c r="D48" s="329" t="s">
        <v>247</v>
      </c>
      <c r="E48" s="155">
        <v>12</v>
      </c>
      <c r="F48" s="330">
        <f t="shared" si="5"/>
        <v>265.36899999999997</v>
      </c>
      <c r="G48" s="177">
        <v>3184.4279999999994</v>
      </c>
      <c r="H48" s="177"/>
      <c r="I48" s="177"/>
      <c r="J48" s="248"/>
      <c r="K48" s="155"/>
    </row>
    <row r="49" spans="1:16" hidden="1" outlineLevel="3" x14ac:dyDescent="0.25">
      <c r="A49" s="326" t="s">
        <v>246</v>
      </c>
      <c r="B49" s="327"/>
      <c r="C49" s="328"/>
      <c r="D49" s="329" t="s">
        <v>247</v>
      </c>
      <c r="E49" s="155">
        <v>12</v>
      </c>
      <c r="F49" s="330">
        <f t="shared" si="5"/>
        <v>176.91200000000001</v>
      </c>
      <c r="G49" s="177">
        <v>2122.944</v>
      </c>
      <c r="H49" s="177"/>
      <c r="I49" s="177"/>
      <c r="J49" s="248"/>
      <c r="K49" s="155"/>
    </row>
    <row r="50" spans="1:16" hidden="1" outlineLevel="3" x14ac:dyDescent="0.25">
      <c r="A50" s="326" t="s">
        <v>251</v>
      </c>
      <c r="B50" s="327"/>
      <c r="C50" s="328"/>
      <c r="D50" s="329" t="s">
        <v>247</v>
      </c>
      <c r="E50" s="155">
        <v>12</v>
      </c>
      <c r="F50" s="330">
        <f t="shared" si="5"/>
        <v>176.91200000000001</v>
      </c>
      <c r="G50" s="177">
        <v>2122.944</v>
      </c>
      <c r="H50" s="177"/>
      <c r="I50" s="177"/>
      <c r="J50" s="248"/>
      <c r="K50" s="155"/>
    </row>
    <row r="51" spans="1:16" hidden="1" outlineLevel="3" x14ac:dyDescent="0.25">
      <c r="A51" s="326" t="s">
        <v>252</v>
      </c>
      <c r="B51" s="327"/>
      <c r="C51" s="328"/>
      <c r="D51" s="329" t="s">
        <v>247</v>
      </c>
      <c r="E51" s="155">
        <v>12</v>
      </c>
      <c r="F51" s="330">
        <f t="shared" si="5"/>
        <v>88.456999999999994</v>
      </c>
      <c r="G51" s="177">
        <v>1061.4839999999999</v>
      </c>
      <c r="H51" s="177"/>
      <c r="I51" s="177"/>
      <c r="J51" s="248"/>
      <c r="K51" s="155"/>
    </row>
    <row r="52" spans="1:16" hidden="1" outlineLevel="3" x14ac:dyDescent="0.25">
      <c r="A52" s="326" t="s">
        <v>586</v>
      </c>
      <c r="B52" s="327"/>
      <c r="C52" s="328"/>
      <c r="D52" s="329" t="s">
        <v>247</v>
      </c>
      <c r="E52" s="155">
        <v>12</v>
      </c>
      <c r="F52" s="330">
        <f t="shared" si="5"/>
        <v>265.36899999999997</v>
      </c>
      <c r="G52" s="177">
        <v>3184.4279999999994</v>
      </c>
      <c r="H52" s="177"/>
      <c r="I52" s="177"/>
      <c r="J52" s="248"/>
      <c r="K52" s="155"/>
    </row>
    <row r="53" spans="1:16" hidden="1" outlineLevel="3" x14ac:dyDescent="0.25">
      <c r="A53" s="326" t="s">
        <v>254</v>
      </c>
      <c r="B53" s="327"/>
      <c r="C53" s="328"/>
      <c r="D53" s="329" t="s">
        <v>247</v>
      </c>
      <c r="E53" s="155">
        <v>12</v>
      </c>
      <c r="F53" s="330">
        <f t="shared" si="5"/>
        <v>176.91200000000001</v>
      </c>
      <c r="G53" s="177">
        <v>2122.944</v>
      </c>
      <c r="H53" s="177"/>
      <c r="I53" s="177"/>
      <c r="J53" s="248"/>
      <c r="K53" s="155"/>
    </row>
    <row r="54" spans="1:16" hidden="1" outlineLevel="3" x14ac:dyDescent="0.25">
      <c r="A54" s="326" t="s">
        <v>256</v>
      </c>
      <c r="B54" s="327"/>
      <c r="C54" s="328"/>
      <c r="D54" s="329" t="s">
        <v>247</v>
      </c>
      <c r="E54" s="155">
        <v>12</v>
      </c>
      <c r="F54" s="330">
        <f t="shared" si="5"/>
        <v>176.91200000000001</v>
      </c>
      <c r="G54" s="177">
        <v>2122.944</v>
      </c>
      <c r="H54" s="177"/>
      <c r="I54" s="177"/>
      <c r="J54" s="248"/>
      <c r="K54" s="155"/>
    </row>
    <row r="55" spans="1:16" hidden="1" outlineLevel="3" x14ac:dyDescent="0.25">
      <c r="A55" s="331" t="s">
        <v>255</v>
      </c>
      <c r="B55" s="327"/>
      <c r="C55" s="328"/>
      <c r="D55" s="329" t="s">
        <v>247</v>
      </c>
      <c r="E55" s="155">
        <v>12</v>
      </c>
      <c r="F55" s="330">
        <f t="shared" si="5"/>
        <v>176.91200000000001</v>
      </c>
      <c r="G55" s="177">
        <v>2122.944</v>
      </c>
      <c r="H55" s="177"/>
      <c r="I55" s="177"/>
      <c r="J55" s="248"/>
      <c r="K55" s="155"/>
    </row>
    <row r="56" spans="1:16" hidden="1" outlineLevel="3" x14ac:dyDescent="0.25">
      <c r="A56" s="326" t="s">
        <v>249</v>
      </c>
      <c r="B56" s="327"/>
      <c r="C56" s="328"/>
      <c r="D56" s="329" t="s">
        <v>247</v>
      </c>
      <c r="E56" s="155">
        <v>12</v>
      </c>
      <c r="F56" s="330">
        <f t="shared" si="5"/>
        <v>176.91200000000001</v>
      </c>
      <c r="G56" s="177">
        <v>2122.944</v>
      </c>
      <c r="H56" s="177"/>
      <c r="I56" s="177"/>
      <c r="J56" s="248"/>
      <c r="K56" s="155"/>
    </row>
    <row r="57" spans="1:16" hidden="1" outlineLevel="3" x14ac:dyDescent="0.25">
      <c r="A57" s="326" t="s">
        <v>257</v>
      </c>
      <c r="B57" s="327"/>
      <c r="C57" s="328"/>
      <c r="D57" s="329" t="s">
        <v>247</v>
      </c>
      <c r="E57" s="155">
        <v>12</v>
      </c>
      <c r="F57" s="330">
        <f t="shared" si="5"/>
        <v>176.91200000000001</v>
      </c>
      <c r="G57" s="177">
        <v>2122.944</v>
      </c>
      <c r="H57" s="177"/>
      <c r="I57" s="177"/>
      <c r="J57" s="248"/>
      <c r="K57" s="155"/>
    </row>
    <row r="58" spans="1:16" hidden="1" outlineLevel="3" x14ac:dyDescent="0.25">
      <c r="A58" s="332" t="s">
        <v>258</v>
      </c>
      <c r="B58" s="327"/>
      <c r="C58" s="328"/>
      <c r="D58" s="329" t="s">
        <v>247</v>
      </c>
      <c r="E58" s="155">
        <v>12</v>
      </c>
      <c r="F58" s="330">
        <f t="shared" si="5"/>
        <v>176.91200000000001</v>
      </c>
      <c r="G58" s="177">
        <v>2122.944</v>
      </c>
      <c r="H58" s="177"/>
      <c r="I58" s="177"/>
      <c r="J58" s="248"/>
      <c r="K58" s="155"/>
    </row>
    <row r="59" spans="1:16" s="49" customFormat="1" hidden="1" outlineLevel="3" x14ac:dyDescent="0.25">
      <c r="A59" s="331" t="s">
        <v>259</v>
      </c>
      <c r="B59" s="316"/>
      <c r="C59" s="175"/>
      <c r="D59" s="329" t="s">
        <v>247</v>
      </c>
      <c r="E59" s="155">
        <v>12</v>
      </c>
      <c r="F59" s="330">
        <f t="shared" si="5"/>
        <v>176.91200000000001</v>
      </c>
      <c r="G59" s="322">
        <v>2122.944</v>
      </c>
      <c r="H59" s="155"/>
      <c r="I59" s="155"/>
      <c r="J59" s="150"/>
      <c r="K59" s="155"/>
      <c r="M59" s="48"/>
      <c r="N59" s="48"/>
      <c r="O59" s="48"/>
      <c r="P59" s="48"/>
    </row>
    <row r="60" spans="1:16" ht="30" hidden="1" outlineLevel="2" x14ac:dyDescent="0.25">
      <c r="A60" s="295" t="s">
        <v>597</v>
      </c>
      <c r="B60" s="316"/>
      <c r="C60" s="175"/>
      <c r="D60" s="317" t="s">
        <v>598</v>
      </c>
      <c r="E60" s="323">
        <v>12</v>
      </c>
      <c r="F60" s="322">
        <f>G60/E60</f>
        <v>3206.2541666666671</v>
      </c>
      <c r="G60" s="322">
        <v>38475.050000000003</v>
      </c>
      <c r="H60" s="155"/>
      <c r="I60" s="155"/>
      <c r="J60" s="150"/>
      <c r="K60" s="177">
        <f>G60</f>
        <v>38475.050000000003</v>
      </c>
    </row>
    <row r="61" spans="1:16" ht="30" hidden="1" outlineLevel="2" x14ac:dyDescent="0.25">
      <c r="A61" s="295" t="s">
        <v>599</v>
      </c>
      <c r="B61" s="316"/>
      <c r="C61" s="175"/>
      <c r="D61" s="317" t="s">
        <v>600</v>
      </c>
      <c r="E61" s="323">
        <v>12</v>
      </c>
      <c r="F61" s="322">
        <f>G61/E61</f>
        <v>2395.0075000000002</v>
      </c>
      <c r="G61" s="322">
        <v>28740.09</v>
      </c>
      <c r="H61" s="155"/>
      <c r="I61" s="155"/>
      <c r="J61" s="150"/>
      <c r="K61" s="177">
        <f>G61</f>
        <v>28740.09</v>
      </c>
    </row>
    <row r="62" spans="1:16" s="49" customFormat="1" ht="30" hidden="1" outlineLevel="2" x14ac:dyDescent="0.25">
      <c r="A62" s="295" t="s">
        <v>587</v>
      </c>
      <c r="B62" s="316"/>
      <c r="C62" s="175"/>
      <c r="D62" s="317" t="s">
        <v>236</v>
      </c>
      <c r="E62" s="155">
        <v>12</v>
      </c>
      <c r="F62" s="322">
        <f t="shared" si="5"/>
        <v>11666.666666666666</v>
      </c>
      <c r="G62" s="322">
        <v>140000</v>
      </c>
      <c r="H62" s="155"/>
      <c r="I62" s="155"/>
      <c r="J62" s="150"/>
      <c r="K62" s="177">
        <f>G62</f>
        <v>140000</v>
      </c>
      <c r="M62" s="48"/>
      <c r="N62" s="48"/>
      <c r="O62" s="48"/>
      <c r="P62" s="48"/>
    </row>
    <row r="63" spans="1:16" s="49" customFormat="1" ht="30" hidden="1" outlineLevel="2" x14ac:dyDescent="0.25">
      <c r="A63" s="295" t="s">
        <v>588</v>
      </c>
      <c r="B63" s="316"/>
      <c r="C63" s="175"/>
      <c r="D63" s="317" t="s">
        <v>589</v>
      </c>
      <c r="E63" s="155">
        <v>12</v>
      </c>
      <c r="F63" s="322">
        <f t="shared" si="5"/>
        <v>6000</v>
      </c>
      <c r="G63" s="322">
        <v>72000</v>
      </c>
      <c r="H63" s="155"/>
      <c r="I63" s="155"/>
      <c r="J63" s="150"/>
      <c r="K63" s="177">
        <f>G63</f>
        <v>72000</v>
      </c>
      <c r="M63" s="48"/>
      <c r="N63" s="48"/>
      <c r="O63" s="48"/>
      <c r="P63" s="48"/>
    </row>
    <row r="64" spans="1:16" s="49" customFormat="1" ht="30" hidden="1" outlineLevel="2" x14ac:dyDescent="0.25">
      <c r="A64" s="295" t="s">
        <v>590</v>
      </c>
      <c r="B64" s="316"/>
      <c r="C64" s="175"/>
      <c r="D64" s="317" t="s">
        <v>294</v>
      </c>
      <c r="E64" s="155">
        <v>12</v>
      </c>
      <c r="F64" s="322">
        <f t="shared" si="5"/>
        <v>2259.7441666666668</v>
      </c>
      <c r="G64" s="322">
        <v>27116.93</v>
      </c>
      <c r="H64" s="155"/>
      <c r="I64" s="155"/>
      <c r="J64" s="150"/>
      <c r="K64" s="177">
        <f>G64</f>
        <v>27116.93</v>
      </c>
      <c r="M64" s="48"/>
      <c r="N64" s="48"/>
      <c r="O64" s="48"/>
      <c r="P64" s="48"/>
    </row>
    <row r="65" spans="1:16" s="49" customFormat="1" ht="28.5" outlineLevel="1" collapsed="1" x14ac:dyDescent="0.25">
      <c r="A65" s="306" t="s">
        <v>235</v>
      </c>
      <c r="B65" s="307"/>
      <c r="C65" s="308">
        <v>224</v>
      </c>
      <c r="D65" s="317"/>
      <c r="E65" s="155"/>
      <c r="F65" s="177"/>
      <c r="G65" s="333">
        <f>SUM(G66:G68)</f>
        <v>1065573.1000000001</v>
      </c>
      <c r="H65" s="312"/>
      <c r="I65" s="312"/>
      <c r="J65" s="313">
        <f>SUM(J66:J68)</f>
        <v>0</v>
      </c>
      <c r="K65" s="312">
        <f t="shared" ref="K65:K70" si="6">G65-J65</f>
        <v>1065573.1000000001</v>
      </c>
      <c r="M65" s="48"/>
      <c r="N65" s="48"/>
      <c r="O65" s="48"/>
      <c r="P65" s="48"/>
    </row>
    <row r="66" spans="1:16" s="49" customFormat="1" hidden="1" outlineLevel="2" x14ac:dyDescent="0.25">
      <c r="A66" s="315" t="s">
        <v>585</v>
      </c>
      <c r="B66" s="316"/>
      <c r="C66" s="175"/>
      <c r="D66" s="317" t="s">
        <v>591</v>
      </c>
      <c r="E66" s="323">
        <v>12</v>
      </c>
      <c r="F66" s="322">
        <f>G66/E66</f>
        <v>35000</v>
      </c>
      <c r="G66" s="322">
        <v>420000</v>
      </c>
      <c r="H66" s="155"/>
      <c r="I66" s="155"/>
      <c r="J66" s="150"/>
      <c r="K66" s="177">
        <f t="shared" si="6"/>
        <v>420000</v>
      </c>
      <c r="M66" s="48"/>
      <c r="N66" s="48"/>
      <c r="O66" s="48"/>
      <c r="P66" s="48"/>
    </row>
    <row r="67" spans="1:16" s="49" customFormat="1" hidden="1" outlineLevel="2" x14ac:dyDescent="0.25">
      <c r="A67" s="315" t="s">
        <v>592</v>
      </c>
      <c r="B67" s="316"/>
      <c r="C67" s="175"/>
      <c r="D67" s="317" t="s">
        <v>236</v>
      </c>
      <c r="E67" s="323">
        <v>12</v>
      </c>
      <c r="F67" s="322">
        <f>G67/E67</f>
        <v>46321</v>
      </c>
      <c r="G67" s="322">
        <v>555852</v>
      </c>
      <c r="H67" s="155"/>
      <c r="I67" s="155"/>
      <c r="J67" s="150"/>
      <c r="K67" s="177">
        <f t="shared" si="6"/>
        <v>555852</v>
      </c>
      <c r="M67" s="48"/>
      <c r="N67" s="48"/>
      <c r="O67" s="48"/>
      <c r="P67" s="48"/>
    </row>
    <row r="68" spans="1:16" hidden="1" outlineLevel="2" x14ac:dyDescent="0.25">
      <c r="A68" s="315" t="s">
        <v>593</v>
      </c>
      <c r="B68" s="316"/>
      <c r="C68" s="175"/>
      <c r="D68" s="317" t="s">
        <v>594</v>
      </c>
      <c r="E68" s="323">
        <v>12</v>
      </c>
      <c r="F68" s="322">
        <f>G68/E68</f>
        <v>7476.7583333333341</v>
      </c>
      <c r="G68" s="322">
        <v>89721.1</v>
      </c>
      <c r="H68" s="155"/>
      <c r="I68" s="155"/>
      <c r="J68" s="150"/>
      <c r="K68" s="177">
        <f t="shared" si="6"/>
        <v>89721.1</v>
      </c>
    </row>
    <row r="69" spans="1:16" ht="28.5" outlineLevel="1" collapsed="1" x14ac:dyDescent="0.25">
      <c r="A69" s="306" t="s">
        <v>237</v>
      </c>
      <c r="B69" s="307"/>
      <c r="C69" s="308">
        <v>225</v>
      </c>
      <c r="D69" s="317"/>
      <c r="E69" s="324"/>
      <c r="F69" s="325"/>
      <c r="G69" s="333">
        <f>SUM(G71:G92)</f>
        <v>1380124</v>
      </c>
      <c r="H69" s="312"/>
      <c r="I69" s="312"/>
      <c r="J69" s="312">
        <f>SUM(J70:J92)</f>
        <v>153720</v>
      </c>
      <c r="K69" s="312">
        <f>SUM(K70:K92)</f>
        <v>1226404</v>
      </c>
      <c r="L69" s="49">
        <f>G69*H3</f>
        <v>905361.34400000004</v>
      </c>
      <c r="M69" s="49">
        <f>L69-J69</f>
        <v>751641.34400000004</v>
      </c>
    </row>
    <row r="70" spans="1:16" ht="30" hidden="1" outlineLevel="2" collapsed="1" x14ac:dyDescent="0.25">
      <c r="A70" s="334" t="s">
        <v>238</v>
      </c>
      <c r="B70" s="335"/>
      <c r="C70" s="336"/>
      <c r="D70" s="337"/>
      <c r="E70" s="323">
        <v>12</v>
      </c>
      <c r="F70" s="322">
        <f>SUM(F71:F73)</f>
        <v>7500</v>
      </c>
      <c r="G70" s="322">
        <f>F70*E70</f>
        <v>90000</v>
      </c>
      <c r="H70" s="323"/>
      <c r="I70" s="155"/>
      <c r="J70" s="150"/>
      <c r="K70" s="177">
        <f t="shared" si="6"/>
        <v>90000</v>
      </c>
    </row>
    <row r="71" spans="1:16" s="55" customFormat="1" ht="36" hidden="1" outlineLevel="3" x14ac:dyDescent="0.25">
      <c r="A71" s="338" t="s">
        <v>239</v>
      </c>
      <c r="B71" s="339"/>
      <c r="C71" s="340"/>
      <c r="D71" s="341" t="s">
        <v>240</v>
      </c>
      <c r="E71" s="342">
        <v>12</v>
      </c>
      <c r="F71" s="343">
        <v>5500</v>
      </c>
      <c r="G71" s="344">
        <f>F71*E71</f>
        <v>66000</v>
      </c>
      <c r="H71" s="344"/>
      <c r="I71" s="345"/>
      <c r="J71" s="346"/>
      <c r="K71" s="347"/>
      <c r="L71" s="200"/>
    </row>
    <row r="72" spans="1:16" s="55" customFormat="1" ht="12" hidden="1" outlineLevel="3" x14ac:dyDescent="0.25">
      <c r="A72" s="338" t="s">
        <v>241</v>
      </c>
      <c r="B72" s="339"/>
      <c r="C72" s="340"/>
      <c r="D72" s="341" t="s">
        <v>242</v>
      </c>
      <c r="E72" s="342">
        <v>12</v>
      </c>
      <c r="F72" s="343">
        <v>1000</v>
      </c>
      <c r="G72" s="344">
        <f>F72*E72</f>
        <v>12000</v>
      </c>
      <c r="H72" s="344"/>
      <c r="I72" s="345"/>
      <c r="J72" s="346"/>
      <c r="K72" s="347"/>
      <c r="L72" s="200"/>
    </row>
    <row r="73" spans="1:16" s="55" customFormat="1" ht="12" hidden="1" outlineLevel="3" x14ac:dyDescent="0.25">
      <c r="A73" s="338" t="s">
        <v>243</v>
      </c>
      <c r="B73" s="339"/>
      <c r="C73" s="340"/>
      <c r="D73" s="341" t="s">
        <v>244</v>
      </c>
      <c r="E73" s="342">
        <v>12</v>
      </c>
      <c r="F73" s="343">
        <v>1000</v>
      </c>
      <c r="G73" s="344">
        <f>F73*E73</f>
        <v>12000</v>
      </c>
      <c r="H73" s="344"/>
      <c r="I73" s="345"/>
      <c r="J73" s="346"/>
      <c r="K73" s="347"/>
      <c r="L73" s="200"/>
    </row>
    <row r="74" spans="1:16" ht="30" hidden="1" outlineLevel="2" x14ac:dyDescent="0.25">
      <c r="A74" s="315" t="s">
        <v>595</v>
      </c>
      <c r="B74" s="316"/>
      <c r="C74" s="175"/>
      <c r="D74" s="317" t="s">
        <v>596</v>
      </c>
      <c r="E74" s="323">
        <v>5</v>
      </c>
      <c r="F74" s="322">
        <v>2000</v>
      </c>
      <c r="G74" s="322">
        <f>E74*F74</f>
        <v>10000</v>
      </c>
      <c r="H74" s="155"/>
      <c r="I74" s="155"/>
      <c r="J74" s="150"/>
      <c r="K74" s="177">
        <f>G74</f>
        <v>10000</v>
      </c>
    </row>
    <row r="75" spans="1:16" ht="30" hidden="1" outlineLevel="2" x14ac:dyDescent="0.25">
      <c r="A75" s="295" t="s">
        <v>601</v>
      </c>
      <c r="B75" s="316"/>
      <c r="C75" s="175"/>
      <c r="D75" s="317"/>
      <c r="E75" s="323">
        <v>1</v>
      </c>
      <c r="F75" s="322"/>
      <c r="G75" s="322">
        <v>33000</v>
      </c>
      <c r="H75" s="155"/>
      <c r="I75" s="155"/>
      <c r="J75" s="150">
        <f>G75</f>
        <v>33000</v>
      </c>
      <c r="K75" s="177"/>
    </row>
    <row r="76" spans="1:16" hidden="1" outlineLevel="2" x14ac:dyDescent="0.25">
      <c r="A76" s="315" t="s">
        <v>262</v>
      </c>
      <c r="B76" s="316"/>
      <c r="C76" s="175"/>
      <c r="D76" s="317"/>
      <c r="E76" s="324"/>
      <c r="F76" s="325"/>
      <c r="G76" s="322">
        <v>120000</v>
      </c>
      <c r="H76" s="155"/>
      <c r="I76" s="155"/>
      <c r="J76" s="150">
        <f>G76*$H$3</f>
        <v>78720</v>
      </c>
      <c r="K76" s="177">
        <f>G76-J76</f>
        <v>41280</v>
      </c>
    </row>
    <row r="77" spans="1:16" hidden="1" outlineLevel="2" x14ac:dyDescent="0.25">
      <c r="A77" s="315" t="s">
        <v>602</v>
      </c>
      <c r="B77" s="316"/>
      <c r="C77" s="175"/>
      <c r="D77" s="317"/>
      <c r="E77" s="323">
        <v>12</v>
      </c>
      <c r="F77" s="322">
        <f>590*25</f>
        <v>14750</v>
      </c>
      <c r="G77" s="322">
        <f>F77*E77</f>
        <v>177000</v>
      </c>
      <c r="H77" s="155"/>
      <c r="I77" s="155"/>
      <c r="J77" s="150">
        <f>G77*H77/100</f>
        <v>0</v>
      </c>
      <c r="K77" s="177">
        <f t="shared" ref="K77:K82" si="7">G77-J77</f>
        <v>177000</v>
      </c>
    </row>
    <row r="78" spans="1:16" hidden="1" outlineLevel="2" x14ac:dyDescent="0.25">
      <c r="A78" s="315" t="s">
        <v>603</v>
      </c>
      <c r="B78" s="316"/>
      <c r="C78" s="175"/>
      <c r="D78" s="317"/>
      <c r="E78" s="323">
        <v>1</v>
      </c>
      <c r="F78" s="322">
        <v>500</v>
      </c>
      <c r="G78" s="322">
        <f>F78*E78</f>
        <v>500</v>
      </c>
      <c r="H78" s="155"/>
      <c r="I78" s="155"/>
      <c r="J78" s="150"/>
      <c r="K78" s="177">
        <f>G78</f>
        <v>500</v>
      </c>
    </row>
    <row r="79" spans="1:16" hidden="1" outlineLevel="2" x14ac:dyDescent="0.25">
      <c r="A79" s="315" t="s">
        <v>134</v>
      </c>
      <c r="B79" s="316"/>
      <c r="C79" s="175"/>
      <c r="D79" s="317"/>
      <c r="E79" s="324"/>
      <c r="F79" s="325"/>
      <c r="G79" s="322">
        <v>130000</v>
      </c>
      <c r="H79" s="155"/>
      <c r="I79" s="155"/>
      <c r="J79" s="150"/>
      <c r="K79" s="177">
        <f t="shared" si="7"/>
        <v>130000</v>
      </c>
    </row>
    <row r="80" spans="1:16" hidden="1" outlineLevel="2" x14ac:dyDescent="0.25">
      <c r="A80" s="315" t="s">
        <v>135</v>
      </c>
      <c r="B80" s="316"/>
      <c r="C80" s="175"/>
      <c r="D80" s="317" t="s">
        <v>260</v>
      </c>
      <c r="E80" s="324"/>
      <c r="F80" s="325"/>
      <c r="G80" s="322">
        <f>10000+50000</f>
        <v>60000</v>
      </c>
      <c r="H80" s="155"/>
      <c r="I80" s="155"/>
      <c r="J80" s="150"/>
      <c r="K80" s="177">
        <f t="shared" si="7"/>
        <v>60000</v>
      </c>
    </row>
    <row r="81" spans="1:12" hidden="1" outlineLevel="2" x14ac:dyDescent="0.25">
      <c r="A81" s="315" t="s">
        <v>261</v>
      </c>
      <c r="B81" s="316"/>
      <c r="C81" s="175"/>
      <c r="D81" s="317"/>
      <c r="E81" s="323">
        <v>1</v>
      </c>
      <c r="F81" s="322">
        <v>200000</v>
      </c>
      <c r="G81" s="322">
        <f>E81*F81</f>
        <v>200000</v>
      </c>
      <c r="H81" s="155"/>
      <c r="I81" s="155"/>
      <c r="J81" s="150"/>
      <c r="K81" s="177">
        <f t="shared" si="7"/>
        <v>200000</v>
      </c>
    </row>
    <row r="82" spans="1:12" hidden="1" outlineLevel="2" x14ac:dyDescent="0.25">
      <c r="A82" s="315" t="s">
        <v>263</v>
      </c>
      <c r="B82" s="316"/>
      <c r="C82" s="175"/>
      <c r="D82" s="317"/>
      <c r="E82" s="324"/>
      <c r="F82" s="325"/>
      <c r="G82" s="322">
        <v>60200</v>
      </c>
      <c r="H82" s="155"/>
      <c r="I82" s="155"/>
      <c r="J82" s="150"/>
      <c r="K82" s="177">
        <f t="shared" si="7"/>
        <v>60200</v>
      </c>
    </row>
    <row r="83" spans="1:12" hidden="1" outlineLevel="2" x14ac:dyDescent="0.25">
      <c r="A83" s="315" t="s">
        <v>604</v>
      </c>
      <c r="B83" s="316"/>
      <c r="C83" s="175"/>
      <c r="D83" s="317"/>
      <c r="E83" s="324"/>
      <c r="F83" s="325"/>
      <c r="G83" s="322">
        <v>10000</v>
      </c>
      <c r="H83" s="155"/>
      <c r="I83" s="155"/>
      <c r="J83" s="150"/>
      <c r="K83" s="177">
        <f>G83</f>
        <v>10000</v>
      </c>
    </row>
    <row r="84" spans="1:12" hidden="1" outlineLevel="2" x14ac:dyDescent="0.25">
      <c r="A84" s="315" t="s">
        <v>605</v>
      </c>
      <c r="B84" s="316"/>
      <c r="C84" s="175"/>
      <c r="D84" s="317"/>
      <c r="E84" s="323">
        <v>12</v>
      </c>
      <c r="F84" s="322">
        <v>12000</v>
      </c>
      <c r="G84" s="322">
        <f>F84*E84</f>
        <v>144000</v>
      </c>
      <c r="H84" s="155"/>
      <c r="I84" s="155"/>
      <c r="J84" s="150"/>
      <c r="K84" s="177">
        <f>G84</f>
        <v>144000</v>
      </c>
    </row>
    <row r="85" spans="1:12" ht="30" hidden="1" outlineLevel="2" x14ac:dyDescent="0.25">
      <c r="A85" s="315" t="s">
        <v>606</v>
      </c>
      <c r="B85" s="316"/>
      <c r="C85" s="175"/>
      <c r="D85" s="317"/>
      <c r="E85" s="323">
        <v>8</v>
      </c>
      <c r="F85" s="322">
        <v>4000</v>
      </c>
      <c r="G85" s="322">
        <f>F85*E85</f>
        <v>32000</v>
      </c>
      <c r="H85" s="155"/>
      <c r="I85" s="155"/>
      <c r="J85" s="150">
        <f t="shared" ref="J85:J89" si="8">G85</f>
        <v>32000</v>
      </c>
      <c r="K85" s="177"/>
    </row>
    <row r="86" spans="1:12" hidden="1" outlineLevel="2" x14ac:dyDescent="0.25">
      <c r="A86" s="315" t="s">
        <v>607</v>
      </c>
      <c r="B86" s="316"/>
      <c r="C86" s="175"/>
      <c r="D86" s="317"/>
      <c r="E86" s="323">
        <v>12</v>
      </c>
      <c r="F86" s="322">
        <v>18778</v>
      </c>
      <c r="G86" s="322">
        <f>F86*E86</f>
        <v>225336</v>
      </c>
      <c r="H86" s="155"/>
      <c r="I86" s="155"/>
      <c r="J86" s="150"/>
      <c r="K86" s="177">
        <f t="shared" ref="K86:K91" si="9">G86</f>
        <v>225336</v>
      </c>
    </row>
    <row r="87" spans="1:12" hidden="1" outlineLevel="2" x14ac:dyDescent="0.25">
      <c r="A87" s="315" t="s">
        <v>608</v>
      </c>
      <c r="B87" s="316"/>
      <c r="C87" s="175"/>
      <c r="D87" s="317"/>
      <c r="E87" s="324"/>
      <c r="F87" s="325"/>
      <c r="G87" s="322">
        <v>5500</v>
      </c>
      <c r="H87" s="155"/>
      <c r="I87" s="155"/>
      <c r="J87" s="150"/>
      <c r="K87" s="177">
        <f t="shared" si="9"/>
        <v>5500</v>
      </c>
    </row>
    <row r="88" spans="1:12" hidden="1" outlineLevel="2" x14ac:dyDescent="0.25">
      <c r="A88" s="315" t="s">
        <v>609</v>
      </c>
      <c r="B88" s="316"/>
      <c r="C88" s="175"/>
      <c r="D88" s="317"/>
      <c r="E88" s="324"/>
      <c r="F88" s="325"/>
      <c r="G88" s="322">
        <v>15000</v>
      </c>
      <c r="H88" s="155"/>
      <c r="I88" s="155"/>
      <c r="J88" s="150"/>
      <c r="K88" s="177">
        <f t="shared" si="9"/>
        <v>15000</v>
      </c>
    </row>
    <row r="89" spans="1:12" ht="30" hidden="1" outlineLevel="2" x14ac:dyDescent="0.25">
      <c r="A89" s="315" t="s">
        <v>610</v>
      </c>
      <c r="B89" s="316"/>
      <c r="C89" s="175"/>
      <c r="D89" s="317"/>
      <c r="E89" s="324"/>
      <c r="F89" s="325"/>
      <c r="G89" s="322">
        <v>10000</v>
      </c>
      <c r="H89" s="155"/>
      <c r="I89" s="155"/>
      <c r="J89" s="150">
        <f t="shared" si="8"/>
        <v>10000</v>
      </c>
      <c r="K89" s="177"/>
    </row>
    <row r="90" spans="1:12" hidden="1" outlineLevel="2" x14ac:dyDescent="0.25">
      <c r="A90" s="315" t="s">
        <v>611</v>
      </c>
      <c r="B90" s="316"/>
      <c r="C90" s="175"/>
      <c r="D90" s="317"/>
      <c r="E90" s="324"/>
      <c r="F90" s="325"/>
      <c r="G90" s="322">
        <v>15288</v>
      </c>
      <c r="H90" s="155"/>
      <c r="I90" s="155"/>
      <c r="J90" s="150"/>
      <c r="K90" s="177">
        <f t="shared" si="9"/>
        <v>15288</v>
      </c>
    </row>
    <row r="91" spans="1:12" hidden="1" outlineLevel="2" x14ac:dyDescent="0.25">
      <c r="A91" s="493" t="s">
        <v>1296</v>
      </c>
      <c r="B91" s="886"/>
      <c r="C91" s="602"/>
      <c r="D91" s="888"/>
      <c r="E91" s="889"/>
      <c r="F91" s="890"/>
      <c r="G91" s="891">
        <v>1500</v>
      </c>
      <c r="H91" s="490"/>
      <c r="I91" s="490"/>
      <c r="J91" s="481"/>
      <c r="K91" s="177">
        <f t="shared" si="9"/>
        <v>1500</v>
      </c>
    </row>
    <row r="92" spans="1:12" hidden="1" outlineLevel="2" x14ac:dyDescent="0.25">
      <c r="A92" s="315" t="s">
        <v>612</v>
      </c>
      <c r="B92" s="316"/>
      <c r="C92" s="175"/>
      <c r="D92" s="317" t="s">
        <v>1295</v>
      </c>
      <c r="E92" s="323">
        <f>7+5</f>
        <v>12</v>
      </c>
      <c r="F92" s="322">
        <v>3400</v>
      </c>
      <c r="G92" s="322">
        <f>F92*E92</f>
        <v>40800</v>
      </c>
      <c r="H92" s="155"/>
      <c r="I92" s="155"/>
      <c r="J92" s="150"/>
      <c r="K92" s="177">
        <f>G92</f>
        <v>40800</v>
      </c>
    </row>
    <row r="93" spans="1:12" outlineLevel="1" x14ac:dyDescent="0.25">
      <c r="A93" s="306" t="s">
        <v>264</v>
      </c>
      <c r="B93" s="307"/>
      <c r="C93" s="308">
        <v>226</v>
      </c>
      <c r="D93" s="317"/>
      <c r="E93" s="324"/>
      <c r="F93" s="325"/>
      <c r="G93" s="333">
        <f>SUM(G95:G137)</f>
        <v>5745193.5615999997</v>
      </c>
      <c r="H93" s="312"/>
      <c r="I93" s="312"/>
      <c r="J93" s="312">
        <f>SUM(J94:J137)</f>
        <v>857544.07119999989</v>
      </c>
      <c r="K93" s="312">
        <f>SUM(K94:K137)</f>
        <v>4887649.4903999995</v>
      </c>
    </row>
    <row r="94" spans="1:12" outlineLevel="2" collapsed="1" x14ac:dyDescent="0.25">
      <c r="A94" s="315" t="s">
        <v>265</v>
      </c>
      <c r="B94" s="316"/>
      <c r="C94" s="175"/>
      <c r="D94" s="317"/>
      <c r="E94" s="323">
        <v>12</v>
      </c>
      <c r="F94" s="322">
        <f>SUM(F95:F108)</f>
        <v>59836.096799999999</v>
      </c>
      <c r="G94" s="322">
        <f>SUM(G95:G108)</f>
        <v>718033.16159999999</v>
      </c>
      <c r="H94" s="155"/>
      <c r="I94" s="155"/>
      <c r="J94" s="150">
        <f>G94/12*9</f>
        <v>538524.87119999994</v>
      </c>
      <c r="K94" s="177">
        <f>G94-J94</f>
        <v>179508.29040000006</v>
      </c>
    </row>
    <row r="95" spans="1:12" s="55" customFormat="1" ht="12" hidden="1" outlineLevel="3" x14ac:dyDescent="0.25">
      <c r="A95" s="348" t="s">
        <v>253</v>
      </c>
      <c r="B95" s="349"/>
      <c r="C95" s="350"/>
      <c r="D95" s="317" t="s">
        <v>266</v>
      </c>
      <c r="E95" s="351">
        <v>12</v>
      </c>
      <c r="F95" s="344">
        <v>3900</v>
      </c>
      <c r="G95" s="344">
        <f>F95*E95</f>
        <v>46800</v>
      </c>
      <c r="H95" s="352"/>
      <c r="I95" s="352"/>
      <c r="J95" s="353"/>
      <c r="K95" s="347"/>
      <c r="L95" s="200"/>
    </row>
    <row r="96" spans="1:12" s="360" customFormat="1" ht="12" hidden="1" outlineLevel="3" x14ac:dyDescent="0.25">
      <c r="A96" s="354" t="s">
        <v>248</v>
      </c>
      <c r="B96" s="355"/>
      <c r="C96" s="356"/>
      <c r="D96" s="337" t="s">
        <v>240</v>
      </c>
      <c r="E96" s="351">
        <v>12</v>
      </c>
      <c r="F96" s="344">
        <v>2950</v>
      </c>
      <c r="G96" s="344">
        <f t="shared" ref="G96:G108" si="10">F96*E96</f>
        <v>35400</v>
      </c>
      <c r="H96" s="357"/>
      <c r="I96" s="357"/>
      <c r="J96" s="358"/>
      <c r="K96" s="351"/>
      <c r="L96" s="359"/>
    </row>
    <row r="97" spans="1:12" s="360" customFormat="1" ht="12" hidden="1" outlineLevel="3" x14ac:dyDescent="0.25">
      <c r="A97" s="354" t="s">
        <v>385</v>
      </c>
      <c r="B97" s="355"/>
      <c r="C97" s="356"/>
      <c r="D97" s="337" t="s">
        <v>240</v>
      </c>
      <c r="E97" s="351">
        <v>12</v>
      </c>
      <c r="F97" s="344">
        <v>2950</v>
      </c>
      <c r="G97" s="344">
        <f t="shared" si="10"/>
        <v>35400</v>
      </c>
      <c r="H97" s="357"/>
      <c r="I97" s="357"/>
      <c r="J97" s="358"/>
      <c r="K97" s="351"/>
      <c r="L97" s="359"/>
    </row>
    <row r="98" spans="1:12" s="360" customFormat="1" ht="12" hidden="1" outlineLevel="3" x14ac:dyDescent="0.25">
      <c r="A98" s="354" t="s">
        <v>243</v>
      </c>
      <c r="B98" s="355"/>
      <c r="C98" s="356"/>
      <c r="D98" s="337" t="s">
        <v>267</v>
      </c>
      <c r="E98" s="351">
        <v>12</v>
      </c>
      <c r="F98" s="344">
        <f>4998.54*1.04</f>
        <v>5198.4816000000001</v>
      </c>
      <c r="G98" s="344">
        <f t="shared" si="10"/>
        <v>62381.779200000004</v>
      </c>
      <c r="H98" s="357"/>
      <c r="I98" s="357"/>
      <c r="J98" s="358"/>
      <c r="K98" s="351"/>
      <c r="L98" s="359"/>
    </row>
    <row r="99" spans="1:12" s="360" customFormat="1" ht="12" hidden="1" outlineLevel="3" x14ac:dyDescent="0.25">
      <c r="A99" s="354" t="s">
        <v>241</v>
      </c>
      <c r="B99" s="355"/>
      <c r="C99" s="356"/>
      <c r="D99" s="337" t="s">
        <v>267</v>
      </c>
      <c r="E99" s="351">
        <v>12</v>
      </c>
      <c r="F99" s="344">
        <f>5645.9*1.04</f>
        <v>5871.7359999999999</v>
      </c>
      <c r="G99" s="344">
        <f t="shared" si="10"/>
        <v>70460.831999999995</v>
      </c>
      <c r="H99" s="357"/>
      <c r="I99" s="357"/>
      <c r="J99" s="358"/>
      <c r="K99" s="351"/>
      <c r="L99" s="359"/>
    </row>
    <row r="100" spans="1:12" s="360" customFormat="1" ht="12" hidden="1" outlineLevel="3" x14ac:dyDescent="0.25">
      <c r="A100" s="354" t="s">
        <v>252</v>
      </c>
      <c r="B100" s="355"/>
      <c r="C100" s="356"/>
      <c r="D100" s="337" t="s">
        <v>267</v>
      </c>
      <c r="E100" s="351">
        <v>12</v>
      </c>
      <c r="F100" s="344">
        <f>5303.73*1.04</f>
        <v>5515.8791999999994</v>
      </c>
      <c r="G100" s="344">
        <f t="shared" si="10"/>
        <v>66190.550399999993</v>
      </c>
      <c r="H100" s="357"/>
      <c r="I100" s="357"/>
      <c r="J100" s="358"/>
      <c r="K100" s="351"/>
      <c r="L100" s="359"/>
    </row>
    <row r="101" spans="1:12" s="360" customFormat="1" ht="12" hidden="1" outlineLevel="3" x14ac:dyDescent="0.25">
      <c r="A101" s="354" t="s">
        <v>249</v>
      </c>
      <c r="B101" s="355"/>
      <c r="C101" s="356"/>
      <c r="D101" s="337" t="s">
        <v>268</v>
      </c>
      <c r="E101" s="351">
        <v>12</v>
      </c>
      <c r="F101" s="344">
        <v>4500</v>
      </c>
      <c r="G101" s="344">
        <f t="shared" si="10"/>
        <v>54000</v>
      </c>
      <c r="H101" s="357"/>
      <c r="I101" s="357"/>
      <c r="J101" s="358"/>
      <c r="K101" s="351"/>
      <c r="L101" s="359"/>
    </row>
    <row r="102" spans="1:12" s="360" customFormat="1" ht="12" hidden="1" outlineLevel="3" x14ac:dyDescent="0.25">
      <c r="A102" s="354" t="s">
        <v>269</v>
      </c>
      <c r="B102" s="355"/>
      <c r="C102" s="356"/>
      <c r="D102" s="337" t="s">
        <v>240</v>
      </c>
      <c r="E102" s="351">
        <v>12</v>
      </c>
      <c r="F102" s="344">
        <v>2950</v>
      </c>
      <c r="G102" s="344">
        <f t="shared" si="10"/>
        <v>35400</v>
      </c>
      <c r="H102" s="357"/>
      <c r="I102" s="357"/>
      <c r="J102" s="358"/>
      <c r="K102" s="351"/>
      <c r="L102" s="359"/>
    </row>
    <row r="103" spans="1:12" s="360" customFormat="1" ht="12" hidden="1" outlineLevel="3" x14ac:dyDescent="0.25">
      <c r="A103" s="354" t="s">
        <v>254</v>
      </c>
      <c r="B103" s="355"/>
      <c r="C103" s="356"/>
      <c r="D103" s="337" t="s">
        <v>240</v>
      </c>
      <c r="E103" s="351">
        <v>12</v>
      </c>
      <c r="F103" s="344">
        <v>3950</v>
      </c>
      <c r="G103" s="344">
        <f t="shared" si="10"/>
        <v>47400</v>
      </c>
      <c r="H103" s="357"/>
      <c r="I103" s="357"/>
      <c r="J103" s="358"/>
      <c r="K103" s="351"/>
      <c r="L103" s="359"/>
    </row>
    <row r="104" spans="1:12" s="360" customFormat="1" ht="12" hidden="1" outlineLevel="3" x14ac:dyDescent="0.25">
      <c r="A104" s="354" t="s">
        <v>255</v>
      </c>
      <c r="B104" s="355"/>
      <c r="C104" s="356"/>
      <c r="D104" s="337" t="s">
        <v>240</v>
      </c>
      <c r="E104" s="351">
        <v>12</v>
      </c>
      <c r="F104" s="344">
        <v>5200</v>
      </c>
      <c r="G104" s="344">
        <f t="shared" si="10"/>
        <v>62400</v>
      </c>
      <c r="H104" s="357"/>
      <c r="I104" s="357"/>
      <c r="J104" s="358"/>
      <c r="K104" s="351"/>
      <c r="L104" s="359"/>
    </row>
    <row r="105" spans="1:12" s="360" customFormat="1" ht="12" hidden="1" outlineLevel="3" x14ac:dyDescent="0.25">
      <c r="A105" s="354" t="s">
        <v>256</v>
      </c>
      <c r="B105" s="355"/>
      <c r="C105" s="356"/>
      <c r="D105" s="337" t="s">
        <v>240</v>
      </c>
      <c r="E105" s="351">
        <v>12</v>
      </c>
      <c r="F105" s="344">
        <v>2950</v>
      </c>
      <c r="G105" s="344">
        <f t="shared" si="10"/>
        <v>35400</v>
      </c>
      <c r="H105" s="357"/>
      <c r="I105" s="357"/>
      <c r="J105" s="358"/>
      <c r="K105" s="351"/>
      <c r="L105" s="359"/>
    </row>
    <row r="106" spans="1:12" s="360" customFormat="1" ht="12" hidden="1" outlineLevel="3" x14ac:dyDescent="0.25">
      <c r="A106" s="354" t="s">
        <v>270</v>
      </c>
      <c r="B106" s="355"/>
      <c r="C106" s="356"/>
      <c r="D106" s="337" t="s">
        <v>240</v>
      </c>
      <c r="E106" s="351">
        <v>12</v>
      </c>
      <c r="F106" s="344">
        <v>2950</v>
      </c>
      <c r="G106" s="344">
        <f t="shared" si="10"/>
        <v>35400</v>
      </c>
      <c r="H106" s="357"/>
      <c r="I106" s="357"/>
      <c r="J106" s="358"/>
      <c r="K106" s="351"/>
      <c r="L106" s="359"/>
    </row>
    <row r="107" spans="1:12" s="360" customFormat="1" ht="12" hidden="1" outlineLevel="3" x14ac:dyDescent="0.25">
      <c r="A107" s="354" t="s">
        <v>259</v>
      </c>
      <c r="B107" s="355"/>
      <c r="C107" s="356"/>
      <c r="D107" s="337" t="s">
        <v>240</v>
      </c>
      <c r="E107" s="351">
        <v>12</v>
      </c>
      <c r="F107" s="344">
        <v>2950</v>
      </c>
      <c r="G107" s="344">
        <f t="shared" si="10"/>
        <v>35400</v>
      </c>
      <c r="H107" s="357"/>
      <c r="I107" s="357"/>
      <c r="J107" s="358"/>
      <c r="K107" s="351"/>
      <c r="L107" s="359"/>
    </row>
    <row r="108" spans="1:12" s="360" customFormat="1" ht="12" hidden="1" outlineLevel="3" x14ac:dyDescent="0.25">
      <c r="A108" s="354" t="s">
        <v>257</v>
      </c>
      <c r="B108" s="355"/>
      <c r="C108" s="356"/>
      <c r="D108" s="337" t="s">
        <v>271</v>
      </c>
      <c r="E108" s="351">
        <v>12</v>
      </c>
      <c r="F108" s="344">
        <v>8000</v>
      </c>
      <c r="G108" s="344">
        <f t="shared" si="10"/>
        <v>96000</v>
      </c>
      <c r="H108" s="357"/>
      <c r="I108" s="357"/>
      <c r="J108" s="358"/>
      <c r="K108" s="351"/>
      <c r="L108" s="359"/>
    </row>
    <row r="109" spans="1:12" s="364" customFormat="1" ht="15.75" outlineLevel="2" thickBot="1" x14ac:dyDescent="0.3">
      <c r="A109" s="334" t="s">
        <v>272</v>
      </c>
      <c r="B109" s="335"/>
      <c r="C109" s="336"/>
      <c r="D109" s="337" t="s">
        <v>273</v>
      </c>
      <c r="E109" s="323">
        <v>12</v>
      </c>
      <c r="F109" s="322">
        <f>6484*1.04</f>
        <v>6743.3600000000006</v>
      </c>
      <c r="G109" s="361">
        <f>F109*E109</f>
        <v>80920.320000000007</v>
      </c>
      <c r="H109" s="323"/>
      <c r="I109" s="323"/>
      <c r="J109" s="362"/>
      <c r="K109" s="322">
        <f t="shared" ref="K109:K137" si="11">G109-J109</f>
        <v>80920.320000000007</v>
      </c>
      <c r="L109" s="363"/>
    </row>
    <row r="110" spans="1:12" s="364" customFormat="1" ht="30" outlineLevel="2" x14ac:dyDescent="0.25">
      <c r="A110" s="334" t="s">
        <v>274</v>
      </c>
      <c r="B110" s="335"/>
      <c r="C110" s="336"/>
      <c r="D110" s="337" t="s">
        <v>275</v>
      </c>
      <c r="E110" s="323">
        <v>12</v>
      </c>
      <c r="F110" s="321">
        <f>2921*1.04</f>
        <v>3037.84</v>
      </c>
      <c r="G110" s="365">
        <f>F110*E110</f>
        <v>36454.080000000002</v>
      </c>
      <c r="H110" s="323"/>
      <c r="I110" s="323"/>
      <c r="J110" s="362"/>
      <c r="K110" s="322">
        <f t="shared" si="11"/>
        <v>36454.080000000002</v>
      </c>
      <c r="L110" s="363"/>
    </row>
    <row r="111" spans="1:12" s="364" customFormat="1" ht="15.75" outlineLevel="2" thickBot="1" x14ac:dyDescent="0.3">
      <c r="A111" s="334"/>
      <c r="B111" s="335"/>
      <c r="C111" s="336"/>
      <c r="D111" s="337" t="s">
        <v>275</v>
      </c>
      <c r="E111" s="323"/>
      <c r="F111" s="321" t="s">
        <v>276</v>
      </c>
      <c r="G111" s="366">
        <f>1600*10</f>
        <v>16000</v>
      </c>
      <c r="H111" s="323"/>
      <c r="I111" s="323"/>
      <c r="J111" s="362"/>
      <c r="K111" s="322">
        <f t="shared" si="11"/>
        <v>16000</v>
      </c>
      <c r="L111" s="363"/>
    </row>
    <row r="112" spans="1:12" s="364" customFormat="1" outlineLevel="2" x14ac:dyDescent="0.25">
      <c r="A112" s="334" t="s">
        <v>272</v>
      </c>
      <c r="B112" s="335"/>
      <c r="C112" s="336"/>
      <c r="D112" s="337" t="s">
        <v>1294</v>
      </c>
      <c r="E112" s="323">
        <v>2</v>
      </c>
      <c r="F112" s="322">
        <v>65000</v>
      </c>
      <c r="G112" s="404">
        <f>F112*E112</f>
        <v>130000</v>
      </c>
      <c r="H112" s="323"/>
      <c r="I112" s="323"/>
      <c r="J112" s="362">
        <f>G112</f>
        <v>130000</v>
      </c>
      <c r="K112" s="322"/>
      <c r="L112" s="363"/>
    </row>
    <row r="113" spans="1:12" s="364" customFormat="1" outlineLevel="2" x14ac:dyDescent="0.25">
      <c r="A113" s="334" t="s">
        <v>277</v>
      </c>
      <c r="B113" s="335"/>
      <c r="C113" s="336"/>
      <c r="D113" s="337" t="s">
        <v>613</v>
      </c>
      <c r="E113" s="323"/>
      <c r="F113" s="322"/>
      <c r="G113" s="322">
        <v>3800</v>
      </c>
      <c r="H113" s="322"/>
      <c r="I113" s="322"/>
      <c r="J113" s="362"/>
      <c r="K113" s="322">
        <f t="shared" si="11"/>
        <v>3800</v>
      </c>
      <c r="L113" s="363"/>
    </row>
    <row r="114" spans="1:12" s="364" customFormat="1" outlineLevel="2" x14ac:dyDescent="0.25">
      <c r="A114" s="334" t="s">
        <v>298</v>
      </c>
      <c r="B114" s="335"/>
      <c r="C114" s="336"/>
      <c r="D114" s="337" t="s">
        <v>299</v>
      </c>
      <c r="E114" s="323"/>
      <c r="F114" s="322"/>
      <c r="G114" s="322">
        <v>4200</v>
      </c>
      <c r="H114" s="322"/>
      <c r="I114" s="322"/>
      <c r="J114" s="362"/>
      <c r="K114" s="322">
        <f>G114-J114</f>
        <v>4200</v>
      </c>
      <c r="L114" s="363"/>
    </row>
    <row r="115" spans="1:12" s="364" customFormat="1" ht="30" outlineLevel="2" x14ac:dyDescent="0.25">
      <c r="A115" s="334" t="s">
        <v>278</v>
      </c>
      <c r="B115" s="335"/>
      <c r="C115" s="336"/>
      <c r="D115" s="337" t="s">
        <v>279</v>
      </c>
      <c r="E115" s="323"/>
      <c r="F115" s="322"/>
      <c r="G115" s="322">
        <f>6650+900</f>
        <v>7550</v>
      </c>
      <c r="H115" s="323"/>
      <c r="I115" s="323"/>
      <c r="J115" s="362"/>
      <c r="K115" s="322">
        <f t="shared" si="11"/>
        <v>7550</v>
      </c>
      <c r="L115" s="363"/>
    </row>
    <row r="116" spans="1:12" s="364" customFormat="1" outlineLevel="2" x14ac:dyDescent="0.25">
      <c r="A116" s="334" t="s">
        <v>614</v>
      </c>
      <c r="B116" s="335"/>
      <c r="C116" s="336"/>
      <c r="D116" s="337" t="s">
        <v>615</v>
      </c>
      <c r="E116" s="323">
        <v>12</v>
      </c>
      <c r="F116" s="322">
        <v>12500</v>
      </c>
      <c r="G116" s="322">
        <f>E116*F116</f>
        <v>150000</v>
      </c>
      <c r="H116" s="323"/>
      <c r="I116" s="323"/>
      <c r="J116" s="362"/>
      <c r="K116" s="322">
        <f>G116</f>
        <v>150000</v>
      </c>
      <c r="L116" s="363"/>
    </row>
    <row r="117" spans="1:12" s="364" customFormat="1" ht="27" customHeight="1" outlineLevel="2" x14ac:dyDescent="0.25">
      <c r="A117" s="334" t="s">
        <v>280</v>
      </c>
      <c r="B117" s="335"/>
      <c r="C117" s="336"/>
      <c r="D117" s="337" t="s">
        <v>616</v>
      </c>
      <c r="E117" s="323"/>
      <c r="F117" s="322"/>
      <c r="G117" s="322">
        <f>J117+K117</f>
        <v>35700</v>
      </c>
      <c r="H117" s="323"/>
      <c r="I117" s="323"/>
      <c r="J117" s="362">
        <f>35700*$H$3</f>
        <v>23419.200000000001</v>
      </c>
      <c r="K117" s="322">
        <f>35700*I3</f>
        <v>12280.8</v>
      </c>
      <c r="L117" s="363"/>
    </row>
    <row r="118" spans="1:12" s="364" customFormat="1" outlineLevel="2" x14ac:dyDescent="0.25">
      <c r="A118" s="334" t="s">
        <v>1359</v>
      </c>
      <c r="B118" s="335"/>
      <c r="C118" s="336"/>
      <c r="D118" s="337" t="s">
        <v>1357</v>
      </c>
      <c r="E118" s="323">
        <v>2220</v>
      </c>
      <c r="F118" s="322">
        <f>G118/E118</f>
        <v>103.809009009009</v>
      </c>
      <c r="G118" s="894">
        <v>230456</v>
      </c>
      <c r="H118" s="323"/>
      <c r="I118" s="323"/>
      <c r="J118" s="362"/>
      <c r="K118" s="322">
        <f t="shared" si="11"/>
        <v>230456</v>
      </c>
      <c r="L118" s="363" t="s">
        <v>1298</v>
      </c>
    </row>
    <row r="119" spans="1:12" s="364" customFormat="1" outlineLevel="2" x14ac:dyDescent="0.25">
      <c r="A119" s="334" t="s">
        <v>1359</v>
      </c>
      <c r="B119" s="914"/>
      <c r="C119" s="915"/>
      <c r="D119" s="337" t="s">
        <v>1358</v>
      </c>
      <c r="E119" s="917">
        <f>216*7+118</f>
        <v>1630</v>
      </c>
      <c r="F119" s="891">
        <v>120</v>
      </c>
      <c r="G119" s="322">
        <f>E119*F119</f>
        <v>195600</v>
      </c>
      <c r="H119" s="917"/>
      <c r="I119" s="917"/>
      <c r="J119" s="918"/>
      <c r="K119" s="322">
        <f t="shared" ref="K119:K122" si="12">G119-J119</f>
        <v>195600</v>
      </c>
      <c r="L119" s="363"/>
    </row>
    <row r="120" spans="1:12" s="364" customFormat="1" outlineLevel="2" x14ac:dyDescent="0.25">
      <c r="A120" s="334" t="s">
        <v>1360</v>
      </c>
      <c r="B120" s="335"/>
      <c r="C120" s="336"/>
      <c r="D120" s="337" t="s">
        <v>1358</v>
      </c>
      <c r="E120" s="323">
        <v>60</v>
      </c>
      <c r="F120" s="322">
        <v>248</v>
      </c>
      <c r="G120" s="322">
        <f>E120*F120</f>
        <v>14880</v>
      </c>
      <c r="H120" s="323"/>
      <c r="I120" s="323"/>
      <c r="J120" s="362"/>
      <c r="K120" s="322">
        <f t="shared" si="12"/>
        <v>14880</v>
      </c>
      <c r="L120" s="363"/>
    </row>
    <row r="121" spans="1:12" s="364" customFormat="1" outlineLevel="2" x14ac:dyDescent="0.25">
      <c r="A121" s="334" t="s">
        <v>1361</v>
      </c>
      <c r="B121" s="914"/>
      <c r="C121" s="915"/>
      <c r="D121" s="337" t="s">
        <v>1358</v>
      </c>
      <c r="E121" s="917">
        <f>216*7+118+20</f>
        <v>1650</v>
      </c>
      <c r="F121" s="891">
        <v>170</v>
      </c>
      <c r="G121" s="322">
        <f>E121*F121</f>
        <v>280500</v>
      </c>
      <c r="H121" s="917"/>
      <c r="I121" s="917"/>
      <c r="J121" s="918"/>
      <c r="K121" s="322">
        <f t="shared" si="12"/>
        <v>280500</v>
      </c>
      <c r="L121" s="363"/>
    </row>
    <row r="122" spans="1:12" s="364" customFormat="1" outlineLevel="2" x14ac:dyDescent="0.25">
      <c r="A122" s="913" t="s">
        <v>1362</v>
      </c>
      <c r="B122" s="914"/>
      <c r="C122" s="915"/>
      <c r="D122" s="916"/>
      <c r="E122" s="917"/>
      <c r="F122" s="891"/>
      <c r="G122" s="891">
        <v>8200</v>
      </c>
      <c r="H122" s="917"/>
      <c r="I122" s="917"/>
      <c r="J122" s="918"/>
      <c r="K122" s="322">
        <f t="shared" si="12"/>
        <v>8200</v>
      </c>
      <c r="L122" s="363"/>
    </row>
    <row r="123" spans="1:12" s="364" customFormat="1" outlineLevel="2" x14ac:dyDescent="0.25">
      <c r="A123" s="334" t="s">
        <v>283</v>
      </c>
      <c r="B123" s="335"/>
      <c r="C123" s="336"/>
      <c r="D123" s="337" t="s">
        <v>282</v>
      </c>
      <c r="E123" s="323">
        <f>(183-35)</f>
        <v>148</v>
      </c>
      <c r="F123" s="322">
        <v>3900</v>
      </c>
      <c r="G123" s="322">
        <f>F123*E123</f>
        <v>577200</v>
      </c>
      <c r="H123" s="323"/>
      <c r="I123" s="323"/>
      <c r="J123" s="362">
        <v>100000</v>
      </c>
      <c r="K123" s="322">
        <f t="shared" si="11"/>
        <v>477200</v>
      </c>
      <c r="L123" s="363"/>
    </row>
    <row r="124" spans="1:12" s="364" customFormat="1" outlineLevel="2" x14ac:dyDescent="0.25">
      <c r="A124" s="334" t="s">
        <v>617</v>
      </c>
      <c r="B124" s="335"/>
      <c r="C124" s="336"/>
      <c r="D124" s="337" t="s">
        <v>286</v>
      </c>
      <c r="E124" s="323"/>
      <c r="F124" s="322"/>
      <c r="G124" s="322">
        <v>500000</v>
      </c>
      <c r="H124" s="323"/>
      <c r="I124" s="323"/>
      <c r="J124" s="362"/>
      <c r="K124" s="322">
        <f t="shared" si="11"/>
        <v>500000</v>
      </c>
      <c r="L124" s="363"/>
    </row>
    <row r="125" spans="1:12" s="364" customFormat="1" outlineLevel="2" x14ac:dyDescent="0.25">
      <c r="A125" s="334" t="s">
        <v>287</v>
      </c>
      <c r="B125" s="335"/>
      <c r="C125" s="336"/>
      <c r="D125" s="337" t="s">
        <v>288</v>
      </c>
      <c r="E125" s="323">
        <v>3</v>
      </c>
      <c r="F125" s="322">
        <v>4500</v>
      </c>
      <c r="G125" s="322">
        <f>E125*F125</f>
        <v>13500</v>
      </c>
      <c r="H125" s="322"/>
      <c r="I125" s="322"/>
      <c r="J125" s="362">
        <f t="shared" ref="J125:J137" si="13">G125*H125/100</f>
        <v>0</v>
      </c>
      <c r="K125" s="322">
        <f t="shared" si="11"/>
        <v>13500</v>
      </c>
      <c r="L125" s="363"/>
    </row>
    <row r="126" spans="1:12" s="364" customFormat="1" outlineLevel="2" x14ac:dyDescent="0.25">
      <c r="A126" s="334" t="s">
        <v>153</v>
      </c>
      <c r="B126" s="335"/>
      <c r="C126" s="336"/>
      <c r="D126" s="337" t="s">
        <v>618</v>
      </c>
      <c r="E126" s="323">
        <v>12</v>
      </c>
      <c r="F126" s="322">
        <v>20000</v>
      </c>
      <c r="G126" s="322">
        <f>E126*F126</f>
        <v>240000</v>
      </c>
      <c r="H126" s="322"/>
      <c r="I126" s="322"/>
      <c r="J126" s="362">
        <f t="shared" si="13"/>
        <v>0</v>
      </c>
      <c r="K126" s="322">
        <f t="shared" si="11"/>
        <v>240000</v>
      </c>
      <c r="L126" s="363"/>
    </row>
    <row r="127" spans="1:12" s="364" customFormat="1" outlineLevel="2" x14ac:dyDescent="0.25">
      <c r="A127" s="334" t="s">
        <v>153</v>
      </c>
      <c r="B127" s="335"/>
      <c r="C127" s="336"/>
      <c r="D127" s="337" t="s">
        <v>619</v>
      </c>
      <c r="E127" s="323"/>
      <c r="F127" s="322"/>
      <c r="G127" s="322">
        <v>50000</v>
      </c>
      <c r="H127" s="322"/>
      <c r="I127" s="322"/>
      <c r="J127" s="362">
        <f t="shared" si="13"/>
        <v>0</v>
      </c>
      <c r="K127" s="322">
        <f t="shared" si="11"/>
        <v>50000</v>
      </c>
      <c r="L127" s="363"/>
    </row>
    <row r="128" spans="1:12" s="364" customFormat="1" outlineLevel="2" x14ac:dyDescent="0.25">
      <c r="A128" s="334" t="s">
        <v>289</v>
      </c>
      <c r="B128" s="335"/>
      <c r="C128" s="336"/>
      <c r="D128" s="337"/>
      <c r="E128" s="323"/>
      <c r="F128" s="322"/>
      <c r="G128" s="322">
        <v>100000</v>
      </c>
      <c r="H128" s="323"/>
      <c r="I128" s="323"/>
      <c r="J128" s="362">
        <f>G128*$H$3</f>
        <v>65600</v>
      </c>
      <c r="K128" s="322">
        <f>G128-J128</f>
        <v>34400</v>
      </c>
      <c r="L128" s="363"/>
    </row>
    <row r="129" spans="1:14" s="364" customFormat="1" ht="30" outlineLevel="2" x14ac:dyDescent="0.25">
      <c r="A129" s="334" t="s">
        <v>620</v>
      </c>
      <c r="B129" s="335"/>
      <c r="C129" s="336"/>
      <c r="D129" s="337"/>
      <c r="E129" s="323"/>
      <c r="F129" s="322"/>
      <c r="G129" s="322">
        <v>400000</v>
      </c>
      <c r="H129" s="323"/>
      <c r="I129" s="323"/>
      <c r="J129" s="362"/>
      <c r="K129" s="322">
        <f>G129-J129</f>
        <v>400000</v>
      </c>
      <c r="L129" s="363"/>
    </row>
    <row r="130" spans="1:14" ht="30" outlineLevel="2" x14ac:dyDescent="0.25">
      <c r="A130" s="315" t="s">
        <v>328</v>
      </c>
      <c r="B130" s="316"/>
      <c r="C130" s="175"/>
      <c r="D130" s="317"/>
      <c r="E130" s="324"/>
      <c r="F130" s="325"/>
      <c r="G130" s="322">
        <v>100000</v>
      </c>
      <c r="H130" s="155"/>
      <c r="I130" s="155"/>
      <c r="J130" s="150"/>
      <c r="K130" s="177">
        <f t="shared" si="11"/>
        <v>100000</v>
      </c>
    </row>
    <row r="131" spans="1:14" s="364" customFormat="1" outlineLevel="2" x14ac:dyDescent="0.25">
      <c r="A131" s="334" t="s">
        <v>281</v>
      </c>
      <c r="B131" s="335"/>
      <c r="C131" s="336"/>
      <c r="D131" s="337" t="s">
        <v>621</v>
      </c>
      <c r="E131" s="323">
        <v>1</v>
      </c>
      <c r="F131" s="322"/>
      <c r="G131" s="322">
        <v>40000</v>
      </c>
      <c r="H131" s="323"/>
      <c r="I131" s="323"/>
      <c r="J131" s="362"/>
      <c r="K131" s="322">
        <f>G131-J131</f>
        <v>40000</v>
      </c>
      <c r="L131" s="363"/>
    </row>
    <row r="132" spans="1:14" s="364" customFormat="1" outlineLevel="2" x14ac:dyDescent="0.25">
      <c r="A132" s="367" t="s">
        <v>622</v>
      </c>
      <c r="B132" s="368"/>
      <c r="C132" s="369"/>
      <c r="D132" s="370"/>
      <c r="E132" s="371"/>
      <c r="F132" s="372"/>
      <c r="G132" s="372">
        <v>1500000</v>
      </c>
      <c r="H132" s="371"/>
      <c r="I132" s="371"/>
      <c r="J132" s="372"/>
      <c r="K132" s="372">
        <f>G132-J132</f>
        <v>1500000</v>
      </c>
      <c r="L132" s="363"/>
    </row>
    <row r="133" spans="1:14" outlineLevel="2" x14ac:dyDescent="0.25">
      <c r="A133" s="315" t="s">
        <v>290</v>
      </c>
      <c r="B133" s="316"/>
      <c r="C133" s="175"/>
      <c r="D133" s="373" t="s">
        <v>291</v>
      </c>
      <c r="E133" s="324"/>
      <c r="F133" s="325"/>
      <c r="G133" s="322">
        <v>58700</v>
      </c>
      <c r="H133" s="177"/>
      <c r="I133" s="177"/>
      <c r="J133" s="150">
        <f t="shared" si="13"/>
        <v>0</v>
      </c>
      <c r="K133" s="177">
        <f t="shared" si="11"/>
        <v>58700</v>
      </c>
    </row>
    <row r="134" spans="1:14" s="364" customFormat="1" ht="30" outlineLevel="2" x14ac:dyDescent="0.25">
      <c r="A134" s="334" t="s">
        <v>292</v>
      </c>
      <c r="B134" s="335"/>
      <c r="C134" s="336"/>
      <c r="D134" s="337" t="s">
        <v>293</v>
      </c>
      <c r="E134" s="323">
        <v>12</v>
      </c>
      <c r="F134" s="322">
        <v>13000</v>
      </c>
      <c r="G134" s="322">
        <f>E134*F134</f>
        <v>156000</v>
      </c>
      <c r="H134" s="322"/>
      <c r="I134" s="322"/>
      <c r="J134" s="362">
        <f t="shared" si="13"/>
        <v>0</v>
      </c>
      <c r="K134" s="322">
        <f t="shared" si="11"/>
        <v>156000</v>
      </c>
      <c r="L134" s="363"/>
    </row>
    <row r="135" spans="1:14" s="364" customFormat="1" outlineLevel="2" x14ac:dyDescent="0.25">
      <c r="A135" s="334" t="s">
        <v>295</v>
      </c>
      <c r="B135" s="335"/>
      <c r="C135" s="336"/>
      <c r="D135" s="337" t="s">
        <v>257</v>
      </c>
      <c r="E135" s="323">
        <v>12</v>
      </c>
      <c r="F135" s="322">
        <v>1250</v>
      </c>
      <c r="G135" s="322">
        <f>E135*F135</f>
        <v>15000</v>
      </c>
      <c r="H135" s="322"/>
      <c r="I135" s="322"/>
      <c r="J135" s="362"/>
      <c r="K135" s="322">
        <f t="shared" si="11"/>
        <v>15000</v>
      </c>
      <c r="L135" s="363"/>
    </row>
    <row r="136" spans="1:14" s="364" customFormat="1" outlineLevel="2" x14ac:dyDescent="0.25">
      <c r="A136" s="334" t="s">
        <v>296</v>
      </c>
      <c r="B136" s="335"/>
      <c r="C136" s="336"/>
      <c r="D136" s="337" t="s">
        <v>297</v>
      </c>
      <c r="E136" s="323"/>
      <c r="F136" s="322"/>
      <c r="G136" s="322">
        <v>20000</v>
      </c>
      <c r="H136" s="322"/>
      <c r="I136" s="322"/>
      <c r="J136" s="362">
        <f t="shared" si="13"/>
        <v>0</v>
      </c>
      <c r="K136" s="322">
        <f t="shared" si="11"/>
        <v>20000</v>
      </c>
      <c r="L136" s="363"/>
    </row>
    <row r="137" spans="1:14" s="364" customFormat="1" outlineLevel="2" x14ac:dyDescent="0.25">
      <c r="A137" s="334" t="s">
        <v>623</v>
      </c>
      <c r="B137" s="335"/>
      <c r="C137" s="336"/>
      <c r="D137" s="337" t="s">
        <v>300</v>
      </c>
      <c r="E137" s="323">
        <v>25</v>
      </c>
      <c r="F137" s="322">
        <v>2500</v>
      </c>
      <c r="G137" s="322">
        <f>E137*F137</f>
        <v>62500</v>
      </c>
      <c r="H137" s="322"/>
      <c r="I137" s="322"/>
      <c r="J137" s="362">
        <f t="shared" si="13"/>
        <v>0</v>
      </c>
      <c r="K137" s="322">
        <f t="shared" si="11"/>
        <v>62500</v>
      </c>
      <c r="L137" s="363"/>
    </row>
    <row r="138" spans="1:14" outlineLevel="1" collapsed="1" x14ac:dyDescent="0.25">
      <c r="A138" s="306" t="s">
        <v>340</v>
      </c>
      <c r="B138" s="307"/>
      <c r="C138" s="308">
        <v>227</v>
      </c>
      <c r="D138" s="317"/>
      <c r="E138" s="324"/>
      <c r="F138" s="325"/>
      <c r="G138" s="333">
        <f>SUM(G139:G142)</f>
        <v>544904.01520000002</v>
      </c>
      <c r="H138" s="333"/>
      <c r="I138" s="333"/>
      <c r="J138" s="374">
        <f>SUM(J139:J142)</f>
        <v>52000</v>
      </c>
      <c r="K138" s="374">
        <f>SUM(K139:K142)</f>
        <v>492904.01520000002</v>
      </c>
    </row>
    <row r="139" spans="1:14" hidden="1" outlineLevel="2" x14ac:dyDescent="0.25">
      <c r="A139" s="315" t="s">
        <v>284</v>
      </c>
      <c r="B139" s="316"/>
      <c r="C139" s="175"/>
      <c r="D139" s="317" t="s">
        <v>285</v>
      </c>
      <c r="E139" s="323">
        <f>60+58+37</f>
        <v>155</v>
      </c>
      <c r="F139" s="322">
        <v>183</v>
      </c>
      <c r="G139" s="322">
        <f>F139*E139</f>
        <v>28365</v>
      </c>
      <c r="H139" s="177"/>
      <c r="I139" s="177"/>
      <c r="J139" s="150">
        <f>G139*H139/100</f>
        <v>0</v>
      </c>
      <c r="K139" s="177">
        <f>G139-J139</f>
        <v>28365</v>
      </c>
    </row>
    <row r="140" spans="1:14" ht="30" hidden="1" outlineLevel="2" x14ac:dyDescent="0.25">
      <c r="A140" s="315" t="s">
        <v>624</v>
      </c>
      <c r="B140" s="316"/>
      <c r="C140" s="175"/>
      <c r="D140" s="317"/>
      <c r="E140" s="323">
        <v>2</v>
      </c>
      <c r="F140" s="322"/>
      <c r="G140" s="322">
        <f>35000+17000</f>
        <v>52000</v>
      </c>
      <c r="H140" s="155"/>
      <c r="I140" s="155"/>
      <c r="J140" s="150">
        <f>G140</f>
        <v>52000</v>
      </c>
      <c r="K140" s="177"/>
    </row>
    <row r="141" spans="1:14" hidden="1" outlineLevel="2" x14ac:dyDescent="0.25">
      <c r="A141" s="315" t="s">
        <v>625</v>
      </c>
      <c r="B141" s="316"/>
      <c r="C141" s="175"/>
      <c r="D141" s="317"/>
      <c r="E141" s="323">
        <v>39</v>
      </c>
      <c r="F141" s="322">
        <f>G141/E141</f>
        <v>5946.9845333333342</v>
      </c>
      <c r="G141" s="322">
        <f>223011.92*1.04</f>
        <v>231932.39680000002</v>
      </c>
      <c r="H141" s="177"/>
      <c r="I141" s="177"/>
      <c r="J141" s="150"/>
      <c r="K141" s="177">
        <f>G141-J141</f>
        <v>231932.39680000002</v>
      </c>
    </row>
    <row r="142" spans="1:14" hidden="1" outlineLevel="2" x14ac:dyDescent="0.25">
      <c r="A142" s="315" t="s">
        <v>626</v>
      </c>
      <c r="B142" s="316"/>
      <c r="C142" s="175"/>
      <c r="D142" s="317"/>
      <c r="E142" s="323">
        <v>9</v>
      </c>
      <c r="F142" s="322">
        <f>G142/E142</f>
        <v>25845.179822222224</v>
      </c>
      <c r="G142" s="322">
        <f>(266764.05-28949.93-14153.91)*1.04</f>
        <v>232606.61840000001</v>
      </c>
      <c r="H142" s="155"/>
      <c r="I142" s="155"/>
      <c r="J142" s="150"/>
      <c r="K142" s="177">
        <f>G142-J142</f>
        <v>232606.61840000001</v>
      </c>
    </row>
    <row r="143" spans="1:14" ht="28.5" outlineLevel="1" collapsed="1" x14ac:dyDescent="0.25">
      <c r="A143" s="306" t="s">
        <v>302</v>
      </c>
      <c r="B143" s="307"/>
      <c r="C143" s="308">
        <v>310</v>
      </c>
      <c r="D143" s="317"/>
      <c r="E143" s="324"/>
      <c r="F143" s="325"/>
      <c r="G143" s="333">
        <f>SUM(G144:G145)</f>
        <v>2400000</v>
      </c>
      <c r="H143" s="312"/>
      <c r="I143" s="312"/>
      <c r="J143" s="313">
        <f>SUM(J144:J145)</f>
        <v>0</v>
      </c>
      <c r="K143" s="313">
        <f>SUM(K144:K145)</f>
        <v>2400000</v>
      </c>
    </row>
    <row r="144" spans="1:14" s="364" customFormat="1" hidden="1" outlineLevel="2" x14ac:dyDescent="0.25">
      <c r="A144" s="334"/>
      <c r="B144" s="335"/>
      <c r="C144" s="375"/>
      <c r="D144" s="337" t="s">
        <v>627</v>
      </c>
      <c r="E144" s="323"/>
      <c r="F144" s="322"/>
      <c r="G144" s="322">
        <v>2400000</v>
      </c>
      <c r="H144" s="322"/>
      <c r="I144" s="322"/>
      <c r="J144" s="372"/>
      <c r="K144" s="322">
        <f>G144-J144</f>
        <v>2400000</v>
      </c>
      <c r="L144" s="364">
        <v>2017</v>
      </c>
      <c r="M144" s="364">
        <v>2018</v>
      </c>
      <c r="N144" s="364">
        <v>2019</v>
      </c>
    </row>
    <row r="145" spans="1:16" hidden="1" outlineLevel="2" x14ac:dyDescent="0.25">
      <c r="A145" s="315"/>
      <c r="B145" s="316"/>
      <c r="C145" s="308"/>
      <c r="D145" s="317" t="s">
        <v>628</v>
      </c>
      <c r="E145" s="324"/>
      <c r="F145" s="325">
        <f>J180</f>
        <v>557225</v>
      </c>
      <c r="H145" s="177"/>
      <c r="I145" s="177"/>
      <c r="J145" s="150"/>
      <c r="K145" s="155"/>
      <c r="L145" s="49">
        <v>1312251.6399999999</v>
      </c>
      <c r="M145" s="49">
        <v>1548224.5299999986</v>
      </c>
      <c r="N145" s="49">
        <v>1423893.8799999987</v>
      </c>
      <c r="O145" s="49"/>
    </row>
    <row r="146" spans="1:16" ht="57" outlineLevel="1" x14ac:dyDescent="0.25">
      <c r="A146" s="306" t="s">
        <v>629</v>
      </c>
      <c r="B146" s="307"/>
      <c r="C146" s="308">
        <v>341</v>
      </c>
      <c r="D146" s="317"/>
      <c r="E146" s="324"/>
      <c r="F146" s="325"/>
      <c r="G146" s="333">
        <f>SUM(G147:G150)</f>
        <v>14018103.010600455</v>
      </c>
      <c r="H146" s="312"/>
      <c r="I146" s="312"/>
      <c r="J146" s="333">
        <f>SUM(J147:J150)</f>
        <v>262848.10533729568</v>
      </c>
      <c r="K146" s="333">
        <f>SUM(K147:K150)</f>
        <v>8755254.8952631596</v>
      </c>
      <c r="L146" s="48" t="s">
        <v>385</v>
      </c>
      <c r="M146" s="49">
        <v>1899492.7599999995</v>
      </c>
      <c r="N146" s="49">
        <v>1649380.18</v>
      </c>
      <c r="P146" s="49">
        <f>P147+P148</f>
        <v>5000000.01</v>
      </c>
    </row>
    <row r="147" spans="1:16" s="364" customFormat="1" ht="24" outlineLevel="2" x14ac:dyDescent="0.25">
      <c r="A147" s="334" t="s">
        <v>303</v>
      </c>
      <c r="B147" s="335"/>
      <c r="C147" s="336">
        <v>341</v>
      </c>
      <c r="D147" s="337" t="s">
        <v>630</v>
      </c>
      <c r="E147" s="323"/>
      <c r="F147" s="322"/>
      <c r="G147" s="322">
        <f>5506704.43/9.5*12*1.04</f>
        <v>7234070.6617263155</v>
      </c>
      <c r="H147" s="322"/>
      <c r="I147" s="322"/>
      <c r="J147" s="362">
        <f>G147*H147/100</f>
        <v>0</v>
      </c>
      <c r="K147" s="322">
        <f>G147-J147-2500000</f>
        <v>4734070.6617263155</v>
      </c>
      <c r="L147" s="363"/>
      <c r="P147" s="363">
        <f>G147-K147</f>
        <v>2500000</v>
      </c>
    </row>
    <row r="148" spans="1:16" ht="30" outlineLevel="2" x14ac:dyDescent="0.25">
      <c r="A148" s="315" t="s">
        <v>631</v>
      </c>
      <c r="B148" s="316"/>
      <c r="C148" s="175"/>
      <c r="D148" s="317" t="s">
        <v>632</v>
      </c>
      <c r="E148" s="324"/>
      <c r="F148" s="325"/>
      <c r="G148" s="322">
        <f>10889576.8/9.5*12-G150-G147-K149</f>
        <v>6235184.2435368439</v>
      </c>
      <c r="H148" s="177"/>
      <c r="I148" s="177"/>
      <c r="J148" s="155"/>
      <c r="K148" s="177">
        <f>G148-J148-2500000.01</f>
        <v>3735184.2335368441</v>
      </c>
      <c r="P148" s="49">
        <f>G148-K148</f>
        <v>2500000.0099999998</v>
      </c>
    </row>
    <row r="149" spans="1:16" ht="30" outlineLevel="2" x14ac:dyDescent="0.25">
      <c r="A149" s="315" t="s">
        <v>333</v>
      </c>
      <c r="B149" s="316"/>
      <c r="C149" s="175"/>
      <c r="D149" s="317" t="s">
        <v>282</v>
      </c>
      <c r="E149" s="324"/>
      <c r="F149" s="325"/>
      <c r="G149" s="376">
        <f>'МЗ РЦВК'!Z45-5491734.71-396822</f>
        <v>262848.10533729568</v>
      </c>
      <c r="H149" s="177"/>
      <c r="I149" s="177"/>
      <c r="J149" s="150">
        <f>G149-K149</f>
        <v>262848.10533729568</v>
      </c>
      <c r="K149" s="177"/>
      <c r="L149" s="48">
        <v>2018</v>
      </c>
      <c r="M149" s="48">
        <v>2019</v>
      </c>
    </row>
    <row r="150" spans="1:16" s="364" customFormat="1" outlineLevel="2" x14ac:dyDescent="0.25">
      <c r="A150" s="334" t="s">
        <v>633</v>
      </c>
      <c r="B150" s="335"/>
      <c r="C150" s="336"/>
      <c r="D150" s="337" t="s">
        <v>634</v>
      </c>
      <c r="E150" s="323">
        <v>2200</v>
      </c>
      <c r="F150" s="322">
        <v>130</v>
      </c>
      <c r="G150" s="322">
        <f>E150*F150</f>
        <v>286000</v>
      </c>
      <c r="H150" s="322"/>
      <c r="I150" s="322"/>
      <c r="J150" s="362">
        <f>G150*H150/100</f>
        <v>0</v>
      </c>
      <c r="K150" s="322">
        <f>G150-J150</f>
        <v>286000</v>
      </c>
      <c r="L150" s="363">
        <v>85000</v>
      </c>
      <c r="M150" s="363">
        <v>72000</v>
      </c>
      <c r="N150" s="364" t="s">
        <v>635</v>
      </c>
    </row>
    <row r="151" spans="1:16" ht="28.5" outlineLevel="1" collapsed="1" x14ac:dyDescent="0.25">
      <c r="A151" s="306" t="s">
        <v>636</v>
      </c>
      <c r="B151" s="307"/>
      <c r="C151" s="308">
        <v>342</v>
      </c>
      <c r="D151" s="317"/>
      <c r="E151" s="324"/>
      <c r="F151" s="325"/>
      <c r="G151" s="333">
        <f>SUM(G152:G153)</f>
        <v>215000</v>
      </c>
      <c r="H151" s="312"/>
      <c r="I151" s="312"/>
      <c r="J151" s="333">
        <f>SUM(J152:J153)</f>
        <v>131200</v>
      </c>
      <c r="K151" s="333">
        <f>SUM(K152:K153)</f>
        <v>83800</v>
      </c>
    </row>
    <row r="152" spans="1:16" s="364" customFormat="1" hidden="1" outlineLevel="2" x14ac:dyDescent="0.25">
      <c r="A152" s="334" t="s">
        <v>637</v>
      </c>
      <c r="B152" s="335"/>
      <c r="C152" s="375"/>
      <c r="D152" s="337" t="s">
        <v>638</v>
      </c>
      <c r="E152" s="323"/>
      <c r="F152" s="322"/>
      <c r="G152" s="322">
        <v>15000</v>
      </c>
      <c r="H152" s="322"/>
      <c r="I152" s="322"/>
      <c r="J152" s="362"/>
      <c r="K152" s="322">
        <f>G152-J152</f>
        <v>15000</v>
      </c>
      <c r="L152" s="363"/>
    </row>
    <row r="153" spans="1:16" s="364" customFormat="1" hidden="1" outlineLevel="2" x14ac:dyDescent="0.25">
      <c r="A153" s="334" t="s">
        <v>639</v>
      </c>
      <c r="B153" s="335"/>
      <c r="C153" s="375"/>
      <c r="D153" s="337" t="s">
        <v>640</v>
      </c>
      <c r="E153" s="323"/>
      <c r="F153" s="322"/>
      <c r="G153" s="322">
        <v>200000</v>
      </c>
      <c r="H153" s="322"/>
      <c r="I153" s="322"/>
      <c r="J153" s="362">
        <f>G153*$H$3</f>
        <v>131200</v>
      </c>
      <c r="K153" s="322">
        <f>G153-J153</f>
        <v>68800</v>
      </c>
      <c r="L153" s="363"/>
    </row>
    <row r="154" spans="1:16" outlineLevel="1" collapsed="1" x14ac:dyDescent="0.25">
      <c r="A154" s="306" t="s">
        <v>641</v>
      </c>
      <c r="B154" s="307"/>
      <c r="C154" s="308">
        <v>343</v>
      </c>
      <c r="D154" s="317"/>
      <c r="E154" s="324"/>
      <c r="F154" s="325"/>
      <c r="G154" s="333">
        <f>SUM(G155)</f>
        <v>2100000</v>
      </c>
      <c r="H154" s="312"/>
      <c r="I154" s="312"/>
      <c r="J154" s="333">
        <f>SUM(J155)</f>
        <v>1000000</v>
      </c>
      <c r="K154" s="333">
        <f>SUM(K155)</f>
        <v>1100000</v>
      </c>
    </row>
    <row r="155" spans="1:16" ht="30" hidden="1" outlineLevel="2" x14ac:dyDescent="0.25">
      <c r="A155" s="315" t="s">
        <v>642</v>
      </c>
      <c r="B155" s="316"/>
      <c r="C155" s="175">
        <v>343</v>
      </c>
      <c r="D155" s="317" t="s">
        <v>643</v>
      </c>
      <c r="E155" s="324"/>
      <c r="F155" s="325"/>
      <c r="G155" s="322">
        <v>2100000</v>
      </c>
      <c r="H155" s="177"/>
      <c r="I155" s="177"/>
      <c r="J155" s="150">
        <v>1000000</v>
      </c>
      <c r="K155" s="177">
        <f>G155-J155</f>
        <v>1100000</v>
      </c>
    </row>
    <row r="156" spans="1:16" ht="28.5" outlineLevel="1" x14ac:dyDescent="0.25">
      <c r="A156" s="306" t="s">
        <v>644</v>
      </c>
      <c r="B156" s="307"/>
      <c r="C156" s="308">
        <v>345</v>
      </c>
      <c r="D156" s="317"/>
      <c r="E156" s="324"/>
      <c r="F156" s="325"/>
      <c r="G156" s="333">
        <f>SUM(G157:G159)</f>
        <v>766814</v>
      </c>
      <c r="H156" s="312"/>
      <c r="I156" s="312"/>
      <c r="J156" s="333">
        <f>SUM(J157:J159)</f>
        <v>426174</v>
      </c>
      <c r="K156" s="333">
        <f>SUM(K157:K159)</f>
        <v>340640</v>
      </c>
    </row>
    <row r="157" spans="1:16" outlineLevel="2" x14ac:dyDescent="0.25">
      <c r="A157" s="315" t="s">
        <v>645</v>
      </c>
      <c r="B157" s="316"/>
      <c r="C157" s="175">
        <v>345</v>
      </c>
      <c r="D157" s="317" t="s">
        <v>646</v>
      </c>
      <c r="E157" s="324"/>
      <c r="F157" s="325"/>
      <c r="G157" s="322">
        <v>20000</v>
      </c>
      <c r="H157" s="177"/>
      <c r="I157" s="177"/>
      <c r="J157" s="150"/>
      <c r="K157" s="177">
        <f>G157-J157</f>
        <v>20000</v>
      </c>
    </row>
    <row r="158" spans="1:16" ht="30" outlineLevel="2" x14ac:dyDescent="0.25">
      <c r="A158" s="315" t="s">
        <v>647</v>
      </c>
      <c r="B158" s="316"/>
      <c r="C158" s="175"/>
      <c r="D158" s="317"/>
      <c r="E158" s="323">
        <f>17+1+1+1</f>
        <v>20</v>
      </c>
      <c r="F158" s="322">
        <v>3000</v>
      </c>
      <c r="G158" s="322">
        <f>F158*E158</f>
        <v>60000</v>
      </c>
      <c r="H158" s="177"/>
      <c r="I158" s="177"/>
      <c r="J158" s="150">
        <f>G158*H3</f>
        <v>39360</v>
      </c>
      <c r="K158" s="177">
        <f>G158-J158</f>
        <v>20640</v>
      </c>
    </row>
    <row r="159" spans="1:16" outlineLevel="2" x14ac:dyDescent="0.25">
      <c r="A159" s="315" t="s">
        <v>648</v>
      </c>
      <c r="B159" s="316"/>
      <c r="C159" s="175"/>
      <c r="D159" s="317"/>
      <c r="E159" s="323">
        <f>'МЗ РЦВК'!C51</f>
        <v>124</v>
      </c>
      <c r="F159" s="322">
        <f>G159/E159</f>
        <v>5538.822580645161</v>
      </c>
      <c r="G159" s="322">
        <f>'МЗ РЦВК'!AA12</f>
        <v>686814</v>
      </c>
      <c r="H159" s="177"/>
      <c r="I159" s="177"/>
      <c r="J159" s="150">
        <f>G159-300000</f>
        <v>386814</v>
      </c>
      <c r="K159" s="177">
        <f>G159-J159</f>
        <v>300000</v>
      </c>
    </row>
    <row r="160" spans="1:16" ht="28.5" outlineLevel="1" x14ac:dyDescent="0.25">
      <c r="A160" s="306" t="s">
        <v>649</v>
      </c>
      <c r="B160" s="307"/>
      <c r="C160" s="308">
        <v>346</v>
      </c>
      <c r="D160" s="317"/>
      <c r="E160" s="324"/>
      <c r="F160" s="325"/>
      <c r="G160" s="333">
        <f>SUM(G161:G175)</f>
        <v>11283516.69894737</v>
      </c>
      <c r="H160" s="312"/>
      <c r="I160" s="312"/>
      <c r="J160" s="333">
        <f>SUM(J161:J175)</f>
        <v>630240</v>
      </c>
      <c r="K160" s="333">
        <f>SUM(K161:K175)</f>
        <v>10653276.69894737</v>
      </c>
    </row>
    <row r="161" spans="1:13" s="364" customFormat="1" outlineLevel="2" x14ac:dyDescent="0.25">
      <c r="A161" s="334" t="s">
        <v>650</v>
      </c>
      <c r="B161" s="335" t="s">
        <v>385</v>
      </c>
      <c r="C161" s="375"/>
      <c r="D161" s="337" t="s">
        <v>651</v>
      </c>
      <c r="E161" s="323"/>
      <c r="F161" s="322"/>
      <c r="G161" s="322">
        <v>30000</v>
      </c>
      <c r="H161" s="322"/>
      <c r="I161" s="322"/>
      <c r="J161" s="362">
        <f>H3*G161</f>
        <v>19680</v>
      </c>
      <c r="K161" s="322">
        <f>G161-J161</f>
        <v>10320</v>
      </c>
      <c r="L161" s="363"/>
    </row>
    <row r="162" spans="1:13" s="364" customFormat="1" outlineLevel="2" x14ac:dyDescent="0.25">
      <c r="A162" s="334" t="s">
        <v>652</v>
      </c>
      <c r="B162" s="335" t="s">
        <v>385</v>
      </c>
      <c r="C162" s="375"/>
      <c r="D162" s="337" t="s">
        <v>653</v>
      </c>
      <c r="E162" s="323"/>
      <c r="F162" s="322"/>
      <c r="G162" s="322">
        <v>130000</v>
      </c>
      <c r="H162" s="322"/>
      <c r="I162" s="322"/>
      <c r="J162" s="362">
        <f>G162*$H$3</f>
        <v>85280</v>
      </c>
      <c r="K162" s="322">
        <f>G162-J162</f>
        <v>44720</v>
      </c>
      <c r="L162" s="363"/>
    </row>
    <row r="163" spans="1:13" s="364" customFormat="1" outlineLevel="2" x14ac:dyDescent="0.25">
      <c r="A163" s="334" t="s">
        <v>654</v>
      </c>
      <c r="B163" s="335"/>
      <c r="C163" s="375"/>
      <c r="D163" s="337" t="s">
        <v>655</v>
      </c>
      <c r="E163" s="323"/>
      <c r="F163" s="322"/>
      <c r="G163" s="322">
        <v>2000</v>
      </c>
      <c r="H163" s="322"/>
      <c r="I163" s="322"/>
      <c r="J163" s="362"/>
      <c r="K163" s="322">
        <f>G163</f>
        <v>2000</v>
      </c>
      <c r="L163" s="363"/>
    </row>
    <row r="164" spans="1:13" ht="24" outlineLevel="2" x14ac:dyDescent="0.25">
      <c r="A164" s="315" t="s">
        <v>304</v>
      </c>
      <c r="B164" s="316"/>
      <c r="C164" s="175"/>
      <c r="D164" s="317" t="s">
        <v>305</v>
      </c>
      <c r="E164" s="371">
        <v>2019</v>
      </c>
      <c r="F164" s="325"/>
      <c r="G164" s="322">
        <f>SUM(F165:F168)</f>
        <v>1026000</v>
      </c>
      <c r="H164" s="177"/>
      <c r="I164" s="177"/>
      <c r="J164" s="150"/>
      <c r="K164" s="177"/>
    </row>
    <row r="165" spans="1:13" outlineLevel="3" x14ac:dyDescent="0.25">
      <c r="A165" s="315"/>
      <c r="B165" s="316"/>
      <c r="C165" s="175"/>
      <c r="D165" s="317" t="s">
        <v>656</v>
      </c>
      <c r="E165" s="372">
        <f>51640+4237+100965+48285.78+11141</f>
        <v>216268.78</v>
      </c>
      <c r="F165" s="322">
        <v>396000</v>
      </c>
      <c r="G165" s="325"/>
      <c r="H165" s="177"/>
      <c r="I165" s="177"/>
      <c r="J165" s="150">
        <v>126000</v>
      </c>
      <c r="K165" s="177">
        <f>F165-J165</f>
        <v>270000</v>
      </c>
    </row>
    <row r="166" spans="1:13" outlineLevel="3" x14ac:dyDescent="0.25">
      <c r="A166" s="315"/>
      <c r="B166" s="316"/>
      <c r="C166" s="175"/>
      <c r="D166" s="317" t="s">
        <v>657</v>
      </c>
      <c r="E166" s="372">
        <f>1800+50575+950</f>
        <v>53325</v>
      </c>
      <c r="F166" s="322">
        <v>130000</v>
      </c>
      <c r="G166" s="325"/>
      <c r="H166" s="177"/>
      <c r="I166" s="177"/>
      <c r="J166" s="150">
        <f>F166*$H$3</f>
        <v>85280</v>
      </c>
      <c r="K166" s="177">
        <f>F166-J166</f>
        <v>44720</v>
      </c>
    </row>
    <row r="167" spans="1:13" outlineLevel="3" x14ac:dyDescent="0.25">
      <c r="A167" s="315"/>
      <c r="B167" s="316"/>
      <c r="C167" s="175"/>
      <c r="D167" s="317" t="s">
        <v>658</v>
      </c>
      <c r="E167" s="372">
        <f>19550+39550+6900+2200+37900+108243.2+1672.5+1800+1980</f>
        <v>219795.7</v>
      </c>
      <c r="F167" s="322">
        <v>350000</v>
      </c>
      <c r="G167" s="325"/>
      <c r="H167" s="177"/>
      <c r="I167" s="177"/>
      <c r="J167" s="150">
        <v>150000</v>
      </c>
      <c r="K167" s="177">
        <f>F167-J167</f>
        <v>200000</v>
      </c>
    </row>
    <row r="168" spans="1:13" outlineLevel="3" x14ac:dyDescent="0.25">
      <c r="A168" s="315"/>
      <c r="B168" s="316"/>
      <c r="C168" s="175"/>
      <c r="D168" s="317" t="s">
        <v>659</v>
      </c>
      <c r="E168" s="372">
        <f>4800+9268+5040+23855+711.25+5420+17400+1707.48+24195.06+1064.85+3604+11128+1480+1680+19000+4390.25+6770</f>
        <v>141513.89000000001</v>
      </c>
      <c r="F168" s="362">
        <v>150000</v>
      </c>
      <c r="G168" s="325"/>
      <c r="H168" s="177"/>
      <c r="I168" s="177"/>
      <c r="J168" s="150">
        <f>F168*$H$3</f>
        <v>98400</v>
      </c>
      <c r="K168" s="177">
        <f>F168-J168</f>
        <v>51600</v>
      </c>
    </row>
    <row r="169" spans="1:13" outlineLevel="2" x14ac:dyDescent="0.25">
      <c r="A169" s="315" t="s">
        <v>660</v>
      </c>
      <c r="B169" s="316"/>
      <c r="C169" s="175"/>
      <c r="D169" s="317"/>
      <c r="E169" s="336" t="s">
        <v>661</v>
      </c>
      <c r="F169" s="322"/>
      <c r="G169" s="322"/>
      <c r="H169" s="177"/>
      <c r="I169" s="177"/>
      <c r="J169" s="150">
        <f>G169*$H$3</f>
        <v>0</v>
      </c>
      <c r="K169" s="177">
        <f>G169-J169</f>
        <v>0</v>
      </c>
    </row>
    <row r="170" spans="1:13" s="57" customFormat="1" outlineLevel="3" x14ac:dyDescent="0.25">
      <c r="A170" s="138" t="s">
        <v>662</v>
      </c>
      <c r="B170" s="137"/>
      <c r="C170" s="140"/>
      <c r="D170" s="139" t="s">
        <v>663</v>
      </c>
      <c r="E170" s="377">
        <v>15</v>
      </c>
      <c r="F170" s="378">
        <f>G170/E170</f>
        <v>2000</v>
      </c>
      <c r="G170" s="378">
        <v>30000</v>
      </c>
      <c r="H170" s="379"/>
      <c r="I170" s="379"/>
      <c r="J170" s="150"/>
      <c r="K170" s="177">
        <f>G170-J170</f>
        <v>30000</v>
      </c>
      <c r="L170" s="49"/>
      <c r="M170" s="48"/>
    </row>
    <row r="171" spans="1:13" s="57" customFormat="1" outlineLevel="3" x14ac:dyDescent="0.25">
      <c r="A171" s="138" t="s">
        <v>664</v>
      </c>
      <c r="B171" s="137"/>
      <c r="C171" s="140"/>
      <c r="D171" s="139" t="s">
        <v>665</v>
      </c>
      <c r="E171" s="377">
        <v>14</v>
      </c>
      <c r="F171" s="378">
        <v>2000</v>
      </c>
      <c r="G171" s="378">
        <f>E171*F171</f>
        <v>28000</v>
      </c>
      <c r="H171" s="379"/>
      <c r="I171" s="379"/>
      <c r="J171" s="150"/>
      <c r="K171" s="177">
        <f>G171-J171</f>
        <v>28000</v>
      </c>
      <c r="L171" s="49"/>
      <c r="M171" s="48"/>
    </row>
    <row r="172" spans="1:13" outlineLevel="3" x14ac:dyDescent="0.25">
      <c r="A172" s="348" t="s">
        <v>666</v>
      </c>
      <c r="B172" s="316"/>
      <c r="C172" s="175"/>
      <c r="D172" s="317" t="s">
        <v>667</v>
      </c>
      <c r="E172" s="377">
        <v>16</v>
      </c>
      <c r="F172" s="378">
        <v>2300</v>
      </c>
      <c r="G172" s="378">
        <f>E172*F172</f>
        <v>36800</v>
      </c>
      <c r="H172" s="380"/>
      <c r="I172" s="380"/>
      <c r="J172" s="150"/>
      <c r="K172" s="177">
        <f>G172-J172</f>
        <v>36800</v>
      </c>
    </row>
    <row r="173" spans="1:13" outlineLevel="2" x14ac:dyDescent="0.25">
      <c r="A173" s="315" t="s">
        <v>306</v>
      </c>
      <c r="B173" s="316"/>
      <c r="C173" s="175"/>
      <c r="D173" s="317" t="s">
        <v>668</v>
      </c>
      <c r="E173" s="323">
        <v>5</v>
      </c>
      <c r="F173" s="322">
        <v>700</v>
      </c>
      <c r="G173" s="322">
        <f>F173*E173</f>
        <v>3500</v>
      </c>
      <c r="H173" s="177"/>
      <c r="I173" s="177"/>
      <c r="J173" s="150"/>
      <c r="K173" s="177">
        <f>G173-J173</f>
        <v>3500</v>
      </c>
    </row>
    <row r="174" spans="1:13" outlineLevel="2" x14ac:dyDescent="0.25">
      <c r="A174" s="315" t="s">
        <v>669</v>
      </c>
      <c r="B174" s="316"/>
      <c r="C174" s="175"/>
      <c r="D174" s="317"/>
      <c r="E174" s="372">
        <f>557637.48+225849.57+68505.9+60000+57090+46600+23398.08+566939.5+1892169+2509147.77+3580+11110+2470+7022.2+9956.95+13400+25000+118799.9+159452.57+16764.3</f>
        <v>6374893.2200000016</v>
      </c>
      <c r="F174" s="322"/>
      <c r="G174" s="322">
        <f>E174/9.5*12+1800000+130000*34.4%</f>
        <v>9897216.6989473701</v>
      </c>
      <c r="H174" s="177"/>
      <c r="I174" s="177"/>
      <c r="J174" s="150"/>
      <c r="K174" s="177">
        <f>G174</f>
        <v>9897216.6989473701</v>
      </c>
    </row>
    <row r="175" spans="1:13" outlineLevel="2" x14ac:dyDescent="0.25">
      <c r="A175" s="315" t="s">
        <v>670</v>
      </c>
      <c r="B175" s="316" t="s">
        <v>385</v>
      </c>
      <c r="C175" s="175"/>
      <c r="D175" s="317"/>
      <c r="E175" s="372">
        <f>1965+19196+35251.66+1215.64+15600</f>
        <v>73228.3</v>
      </c>
      <c r="F175" s="325"/>
      <c r="G175" s="322">
        <v>100000</v>
      </c>
      <c r="H175" s="177"/>
      <c r="I175" s="177"/>
      <c r="J175" s="150">
        <f>G175*H3</f>
        <v>65600</v>
      </c>
      <c r="K175" s="177">
        <f>G175-J175</f>
        <v>34400</v>
      </c>
    </row>
    <row r="176" spans="1:13" ht="42.75" outlineLevel="1" collapsed="1" x14ac:dyDescent="0.25">
      <c r="A176" s="306" t="s">
        <v>1364</v>
      </c>
      <c r="B176" s="307"/>
      <c r="C176" s="308">
        <v>349</v>
      </c>
      <c r="D176" s="317"/>
      <c r="E176" s="324"/>
      <c r="F176" s="325"/>
      <c r="G176" s="333">
        <f>SUM(G177)</f>
        <v>50000</v>
      </c>
      <c r="H176" s="312"/>
      <c r="I176" s="312"/>
      <c r="J176" s="333">
        <f>SUM(J177)</f>
        <v>0</v>
      </c>
      <c r="K176" s="333">
        <f>SUM(K177)</f>
        <v>50000</v>
      </c>
    </row>
    <row r="177" spans="1:16" s="364" customFormat="1" ht="30" hidden="1" outlineLevel="2" x14ac:dyDescent="0.25">
      <c r="A177" s="334" t="s">
        <v>1365</v>
      </c>
      <c r="B177" s="335"/>
      <c r="C177" s="375"/>
      <c r="D177" s="337"/>
      <c r="E177" s="323"/>
      <c r="F177" s="322"/>
      <c r="G177" s="322">
        <v>50000</v>
      </c>
      <c r="H177" s="322"/>
      <c r="I177" s="322"/>
      <c r="J177" s="362">
        <f>H19*G177</f>
        <v>0</v>
      </c>
      <c r="K177" s="322">
        <f>G177-J177</f>
        <v>50000</v>
      </c>
      <c r="L177" s="363"/>
    </row>
    <row r="178" spans="1:16" x14ac:dyDescent="0.25">
      <c r="A178" s="299" t="s">
        <v>307</v>
      </c>
      <c r="B178" s="300"/>
      <c r="C178" s="221"/>
      <c r="D178" s="381"/>
      <c r="E178" s="382"/>
      <c r="F178" s="195"/>
      <c r="G178" s="304">
        <f>SUM(G179:G181)</f>
        <v>972952</v>
      </c>
      <c r="H178" s="382"/>
      <c r="I178" s="382"/>
      <c r="J178" s="304">
        <f>SUM(J179:J181)</f>
        <v>829941.91200000001</v>
      </c>
      <c r="K178" s="304">
        <f>SUM(K179:K181)</f>
        <v>143010.08799999999</v>
      </c>
    </row>
    <row r="179" spans="1:16" outlineLevel="1" x14ac:dyDescent="0.25">
      <c r="A179" s="315" t="s">
        <v>301</v>
      </c>
      <c r="B179" s="316"/>
      <c r="C179" s="175">
        <v>291</v>
      </c>
      <c r="D179" s="317"/>
      <c r="E179" s="155"/>
      <c r="F179" s="177"/>
      <c r="G179" s="177"/>
      <c r="H179" s="155"/>
      <c r="I179" s="155"/>
      <c r="J179" s="150"/>
      <c r="K179" s="150"/>
    </row>
    <row r="180" spans="1:16" outlineLevel="1" x14ac:dyDescent="0.25">
      <c r="A180" s="315" t="s">
        <v>308</v>
      </c>
      <c r="B180" s="316"/>
      <c r="C180" s="175"/>
      <c r="D180" s="317"/>
      <c r="E180" s="383"/>
      <c r="F180" s="177"/>
      <c r="G180" s="177">
        <f>'Налог на им-во'!AC103</f>
        <v>557225</v>
      </c>
      <c r="H180" s="177"/>
      <c r="I180" s="177"/>
      <c r="J180" s="362">
        <f>G180</f>
        <v>557225</v>
      </c>
      <c r="K180" s="362">
        <f>G180-J180</f>
        <v>0</v>
      </c>
    </row>
    <row r="181" spans="1:16" outlineLevel="1" x14ac:dyDescent="0.25">
      <c r="A181" s="315" t="s">
        <v>309</v>
      </c>
      <c r="B181" s="316"/>
      <c r="C181" s="175"/>
      <c r="D181" s="317"/>
      <c r="E181" s="383"/>
      <c r="F181" s="177"/>
      <c r="G181" s="177">
        <v>415727</v>
      </c>
      <c r="H181" s="177"/>
      <c r="I181" s="177"/>
      <c r="J181" s="150">
        <f>G181*H3</f>
        <v>272716.91200000001</v>
      </c>
      <c r="K181" s="150">
        <f>G181-J181</f>
        <v>143010.08799999999</v>
      </c>
    </row>
    <row r="182" spans="1:16" x14ac:dyDescent="0.25">
      <c r="A182" s="299" t="s">
        <v>310</v>
      </c>
      <c r="B182" s="300"/>
      <c r="C182" s="221"/>
      <c r="D182" s="381"/>
      <c r="E182" s="382"/>
      <c r="F182" s="195"/>
      <c r="G182" s="304">
        <f>SUM(G183:G184)</f>
        <v>179916</v>
      </c>
      <c r="H182" s="382"/>
      <c r="I182" s="382"/>
      <c r="J182" s="304">
        <f>SUM(J183:J184)</f>
        <v>118024.89600000001</v>
      </c>
      <c r="K182" s="384">
        <f>G182-J182</f>
        <v>61891.103999999992</v>
      </c>
    </row>
    <row r="183" spans="1:16" s="49" customFormat="1" outlineLevel="1" x14ac:dyDescent="0.25">
      <c r="A183" s="315" t="s">
        <v>301</v>
      </c>
      <c r="B183" s="316"/>
      <c r="C183" s="175">
        <v>291</v>
      </c>
      <c r="D183" s="317"/>
      <c r="E183" s="155"/>
      <c r="F183" s="177"/>
      <c r="G183" s="177">
        <f>179916-G184</f>
        <v>86873.5</v>
      </c>
      <c r="H183" s="155"/>
      <c r="I183" s="155"/>
      <c r="J183" s="150">
        <f>G183*H3</f>
        <v>56989.016000000003</v>
      </c>
      <c r="K183" s="150">
        <v>29884.48</v>
      </c>
      <c r="M183" s="48"/>
      <c r="N183" s="48"/>
      <c r="O183" s="48"/>
      <c r="P183" s="48"/>
    </row>
    <row r="184" spans="1:16" s="49" customFormat="1" outlineLevel="1" x14ac:dyDescent="0.25">
      <c r="A184" s="315" t="s">
        <v>311</v>
      </c>
      <c r="B184" s="316"/>
      <c r="C184" s="175"/>
      <c r="D184" s="317"/>
      <c r="E184" s="383"/>
      <c r="F184" s="177"/>
      <c r="G184" s="177">
        <v>93042.5</v>
      </c>
      <c r="H184" s="177"/>
      <c r="I184" s="177"/>
      <c r="J184" s="150">
        <f>G184*H3</f>
        <v>61035.880000000005</v>
      </c>
      <c r="K184" s="150">
        <v>32006.62</v>
      </c>
      <c r="M184" s="48"/>
      <c r="N184" s="48"/>
      <c r="O184" s="48"/>
      <c r="P184" s="48"/>
    </row>
    <row r="185" spans="1:16" s="49" customFormat="1" x14ac:dyDescent="0.25">
      <c r="A185" s="299" t="s">
        <v>312</v>
      </c>
      <c r="B185" s="300"/>
      <c r="C185" s="221"/>
      <c r="D185" s="381"/>
      <c r="E185" s="382"/>
      <c r="F185" s="195"/>
      <c r="G185" s="304">
        <f>SUM(G187:G187)</f>
        <v>51000</v>
      </c>
      <c r="H185" s="382"/>
      <c r="I185" s="382"/>
      <c r="J185" s="304">
        <f>SUM(J187:J187)</f>
        <v>0</v>
      </c>
      <c r="K185" s="384">
        <f>G185-J185</f>
        <v>51000</v>
      </c>
      <c r="M185" s="48"/>
      <c r="N185" s="48"/>
      <c r="O185" s="48"/>
      <c r="P185" s="48"/>
    </row>
    <row r="186" spans="1:16" s="49" customFormat="1" outlineLevel="1" x14ac:dyDescent="0.25">
      <c r="A186" s="315" t="s">
        <v>301</v>
      </c>
      <c r="B186" s="316"/>
      <c r="C186" s="175">
        <v>290</v>
      </c>
      <c r="D186" s="317"/>
      <c r="E186" s="155"/>
      <c r="F186" s="177"/>
      <c r="G186" s="155"/>
      <c r="H186" s="155"/>
      <c r="I186" s="155"/>
      <c r="J186" s="150"/>
      <c r="K186" s="155"/>
      <c r="M186" s="48"/>
      <c r="N186" s="48"/>
      <c r="O186" s="48"/>
      <c r="P186" s="48"/>
    </row>
    <row r="187" spans="1:16" s="49" customFormat="1" ht="30" outlineLevel="1" x14ac:dyDescent="0.25">
      <c r="A187" s="315" t="s">
        <v>313</v>
      </c>
      <c r="B187" s="316"/>
      <c r="C187" s="175"/>
      <c r="D187" s="317"/>
      <c r="E187" s="383"/>
      <c r="F187" s="177"/>
      <c r="G187" s="177">
        <v>51000</v>
      </c>
      <c r="H187" s="177"/>
      <c r="I187" s="177"/>
      <c r="J187" s="150">
        <f>G187*H187/100</f>
        <v>0</v>
      </c>
      <c r="K187" s="150">
        <v>51000</v>
      </c>
      <c r="M187" s="48"/>
      <c r="N187" s="48"/>
      <c r="O187" s="48"/>
      <c r="P187" s="48"/>
    </row>
    <row r="188" spans="1:16" s="49" customFormat="1" x14ac:dyDescent="0.25">
      <c r="A188" s="58"/>
      <c r="B188" s="257"/>
      <c r="C188" s="294"/>
      <c r="D188" s="47"/>
      <c r="E188" s="48"/>
      <c r="J188" s="59"/>
      <c r="K188" s="48"/>
      <c r="M188" s="48"/>
      <c r="N188" s="48"/>
      <c r="O188" s="48"/>
      <c r="P188" s="48"/>
    </row>
    <row r="189" spans="1:16" s="49" customFormat="1" x14ac:dyDescent="0.25">
      <c r="A189" s="58"/>
      <c r="B189" s="257"/>
      <c r="C189" s="294"/>
      <c r="D189" s="47"/>
      <c r="E189" s="48"/>
      <c r="J189" s="59"/>
      <c r="K189" s="48"/>
      <c r="M189" s="48"/>
      <c r="N189" s="48"/>
      <c r="O189" s="48"/>
      <c r="P189" s="48"/>
    </row>
    <row r="190" spans="1:16" s="49" customFormat="1" x14ac:dyDescent="0.25">
      <c r="A190" s="58"/>
      <c r="B190" s="257"/>
      <c r="C190" s="294"/>
      <c r="D190" s="47"/>
      <c r="E190" s="48"/>
      <c r="J190" s="59"/>
      <c r="K190" s="48"/>
      <c r="M190" s="48"/>
      <c r="N190" s="48"/>
      <c r="O190" s="48"/>
      <c r="P190" s="48"/>
    </row>
    <row r="191" spans="1:16" s="49" customFormat="1" x14ac:dyDescent="0.25">
      <c r="A191" s="58"/>
      <c r="B191" s="257"/>
      <c r="C191" s="294"/>
      <c r="D191" s="47"/>
      <c r="E191" s="48"/>
      <c r="G191" s="48"/>
      <c r="H191" s="48"/>
      <c r="I191" s="48"/>
      <c r="J191" s="59"/>
      <c r="K191" s="48"/>
      <c r="M191" s="48"/>
      <c r="N191" s="48"/>
      <c r="O191" s="48"/>
      <c r="P191" s="48"/>
    </row>
    <row r="192" spans="1:16" s="49" customFormat="1" x14ac:dyDescent="0.25">
      <c r="A192" s="58"/>
      <c r="B192" s="257"/>
      <c r="C192" s="294"/>
      <c r="D192" s="47"/>
      <c r="E192" s="48"/>
      <c r="G192" s="48"/>
      <c r="H192" s="48"/>
      <c r="I192" s="48"/>
      <c r="J192" s="59"/>
      <c r="K192" s="48"/>
      <c r="M192" s="48"/>
      <c r="N192" s="48"/>
      <c r="O192" s="48"/>
      <c r="P192" s="48"/>
    </row>
    <row r="193" spans="1:16" s="49" customFormat="1" x14ac:dyDescent="0.25">
      <c r="A193" s="58"/>
      <c r="B193" s="257"/>
      <c r="C193" s="294"/>
      <c r="D193" s="47"/>
      <c r="E193" s="48"/>
      <c r="G193" s="48"/>
      <c r="H193" s="48"/>
      <c r="I193" s="48"/>
      <c r="J193" s="59"/>
      <c r="K193" s="48"/>
      <c r="M193" s="48"/>
      <c r="N193" s="48"/>
      <c r="O193" s="48"/>
      <c r="P193" s="48"/>
    </row>
    <row r="194" spans="1:16" s="49" customFormat="1" x14ac:dyDescent="0.25">
      <c r="A194" s="58"/>
      <c r="B194" s="257"/>
      <c r="C194" s="294"/>
      <c r="D194" s="47"/>
      <c r="E194" s="48"/>
      <c r="G194" s="48"/>
      <c r="H194" s="48"/>
      <c r="I194" s="48"/>
      <c r="J194" s="59"/>
      <c r="K194" s="48"/>
      <c r="M194" s="48"/>
      <c r="N194" s="48"/>
      <c r="O194" s="48"/>
      <c r="P194" s="48"/>
    </row>
    <row r="195" spans="1:16" s="49" customFormat="1" x14ac:dyDescent="0.25">
      <c r="A195" s="58"/>
      <c r="B195" s="257"/>
      <c r="C195" s="294"/>
      <c r="D195" s="47"/>
      <c r="E195" s="48"/>
      <c r="J195" s="59"/>
      <c r="K195" s="48"/>
      <c r="M195" s="48"/>
      <c r="N195" s="48"/>
      <c r="O195" s="48"/>
      <c r="P195" s="48"/>
    </row>
  </sheetData>
  <mergeCells count="11">
    <mergeCell ref="J6:J9"/>
    <mergeCell ref="G1:G2"/>
    <mergeCell ref="H1:I1"/>
    <mergeCell ref="J1:K1"/>
    <mergeCell ref="A1:A3"/>
    <mergeCell ref="B1:B3"/>
    <mergeCell ref="C1:C3"/>
    <mergeCell ref="D1:D3"/>
    <mergeCell ref="E1:E3"/>
    <mergeCell ref="F1:F3"/>
    <mergeCell ref="K6:K9"/>
  </mergeCells>
  <pageMargins left="0.23622047244094491" right="0.23622047244094491" top="0.35433070866141736" bottom="0.15748031496062992" header="0" footer="0"/>
  <pageSetup paperSize="9" scale="8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K39"/>
  <sheetViews>
    <sheetView zoomScaleNormal="100" workbookViewId="0">
      <pane xSplit="2" ySplit="4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I6" sqref="I6"/>
    </sheetView>
  </sheetViews>
  <sheetFormatPr defaultRowHeight="15" outlineLevelRow="1" x14ac:dyDescent="0.25"/>
  <cols>
    <col min="1" max="1" width="7.28515625" style="134" customWidth="1"/>
    <col min="2" max="2" width="29.5703125" style="134" customWidth="1"/>
    <col min="3" max="3" width="17" style="134" customWidth="1"/>
    <col min="4" max="4" width="14.7109375" style="134" customWidth="1"/>
    <col min="5" max="5" width="15.140625" style="134" customWidth="1"/>
    <col min="6" max="6" width="17.28515625" style="134" bestFit="1" customWidth="1"/>
    <col min="7" max="7" width="19.5703125" style="134" customWidth="1"/>
    <col min="8" max="8" width="11.5703125" style="134" bestFit="1" customWidth="1"/>
    <col min="9" max="9" width="49.28515625" style="134" customWidth="1"/>
    <col min="10" max="10" width="13.5703125" style="134" hidden="1" customWidth="1"/>
    <col min="11" max="11" width="10" style="134" hidden="1" customWidth="1"/>
    <col min="12" max="16384" width="9.140625" style="134"/>
  </cols>
  <sheetData>
    <row r="1" spans="1:9" x14ac:dyDescent="0.25">
      <c r="A1" s="1078" t="s">
        <v>1284</v>
      </c>
      <c r="B1" s="1078"/>
      <c r="C1" s="1078"/>
      <c r="D1" s="1078"/>
      <c r="E1" s="1078"/>
      <c r="F1" s="1078"/>
      <c r="G1" s="1078"/>
      <c r="H1" s="1078"/>
      <c r="I1" s="1078"/>
    </row>
    <row r="2" spans="1:9" s="293" customFormat="1" ht="6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</row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19" customFormat="1" ht="11.25" x14ac:dyDescent="0.25">
      <c r="A4" s="142">
        <v>1</v>
      </c>
      <c r="B4" s="142">
        <v>2</v>
      </c>
      <c r="C4" s="142">
        <v>3</v>
      </c>
      <c r="D4" s="142">
        <v>4</v>
      </c>
      <c r="E4" s="142" t="s">
        <v>158</v>
      </c>
      <c r="F4" s="142"/>
      <c r="G4" s="142">
        <v>6</v>
      </c>
      <c r="H4" s="142" t="s">
        <v>6</v>
      </c>
      <c r="I4" s="142">
        <v>8</v>
      </c>
    </row>
    <row r="5" spans="1:9" x14ac:dyDescent="0.25">
      <c r="A5" s="143" t="s">
        <v>7</v>
      </c>
      <c r="B5" s="144"/>
      <c r="C5" s="144"/>
      <c r="D5" s="144"/>
      <c r="E5" s="144"/>
      <c r="F5" s="144"/>
      <c r="G5" s="144"/>
      <c r="H5" s="144"/>
      <c r="I5" s="145"/>
    </row>
    <row r="6" spans="1:9" ht="102" outlineLevel="1" x14ac:dyDescent="0.25">
      <c r="A6" s="176" t="s">
        <v>129</v>
      </c>
      <c r="B6" s="147" t="s">
        <v>1277</v>
      </c>
      <c r="C6" s="501">
        <f>'ФВ РЦВК'!O6</f>
        <v>13550.68</v>
      </c>
      <c r="D6" s="502">
        <f>'ФВ РЦВК'!G6</f>
        <v>61594</v>
      </c>
      <c r="E6" s="148">
        <f>C6/D6</f>
        <v>0.22</v>
      </c>
      <c r="F6" s="501">
        <f>'ФОТ 2020'!H25/1000</f>
        <v>49567.094099296366</v>
      </c>
      <c r="G6" s="501">
        <f>'ФОТ 2020'!G34</f>
        <v>260.16000000000003</v>
      </c>
      <c r="H6" s="150">
        <f>E6*G6</f>
        <v>57.235200000000006</v>
      </c>
      <c r="I6" s="151" t="s">
        <v>1408</v>
      </c>
    </row>
    <row r="7" spans="1:9" s="172" customFormat="1" x14ac:dyDescent="0.25">
      <c r="A7" s="1079" t="s">
        <v>8</v>
      </c>
      <c r="B7" s="1080"/>
      <c r="C7" s="1080"/>
      <c r="D7" s="1080"/>
      <c r="E7" s="1080"/>
      <c r="F7" s="1080"/>
      <c r="G7" s="1081"/>
      <c r="H7" s="253">
        <f>SUM(H6:H6)</f>
        <v>57.235200000000006</v>
      </c>
      <c r="I7" s="151"/>
    </row>
    <row r="8" spans="1:9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19" customFormat="1" ht="11.25" x14ac:dyDescent="0.25">
      <c r="A9" s="142">
        <v>1</v>
      </c>
      <c r="B9" s="142">
        <v>2</v>
      </c>
      <c r="C9" s="142">
        <v>3</v>
      </c>
      <c r="D9" s="142">
        <v>4</v>
      </c>
      <c r="E9" s="142" t="s">
        <v>158</v>
      </c>
      <c r="F9" s="142">
        <v>6</v>
      </c>
      <c r="G9" s="142">
        <v>7</v>
      </c>
      <c r="H9" s="142" t="s">
        <v>12</v>
      </c>
      <c r="I9" s="142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outlineLevel="1" x14ac:dyDescent="0.25">
      <c r="A11" s="146">
        <v>1</v>
      </c>
      <c r="B11" s="445" t="s">
        <v>940</v>
      </c>
      <c r="C11" s="148">
        <f>'МЗ РЦВК'!$C$51*'МЗ РЦВК'!D5</f>
        <v>248</v>
      </c>
      <c r="D11" s="552">
        <f>'ФВ РЦВК'!G26</f>
        <v>265212.859</v>
      </c>
      <c r="E11" s="154">
        <f t="shared" ref="E11:E32" si="0">(C11/D11)</f>
        <v>9.3509794711726252E-4</v>
      </c>
      <c r="F11" s="155">
        <v>1</v>
      </c>
      <c r="G11" s="148">
        <f>SUMIF('МЗ РЦВК'!$B$5:$B$45,$B11,'МЗ РЦВК'!$C$5:$C$45)</f>
        <v>700</v>
      </c>
      <c r="H11" s="488">
        <f t="shared" ref="H11:H31" si="1">(E11*G11/F11)</f>
        <v>0.65456856298208377</v>
      </c>
      <c r="I11" s="1083" t="s">
        <v>348</v>
      </c>
    </row>
    <row r="12" spans="1:9" ht="30" outlineLevel="1" x14ac:dyDescent="0.25">
      <c r="A12" s="146">
        <v>2</v>
      </c>
      <c r="B12" s="445" t="s">
        <v>941</v>
      </c>
      <c r="C12" s="148">
        <f>'МЗ РЦВК'!$C$51*'МЗ РЦВК'!D6</f>
        <v>248</v>
      </c>
      <c r="D12" s="553">
        <f>D11</f>
        <v>265212.859</v>
      </c>
      <c r="E12" s="154">
        <f t="shared" si="0"/>
        <v>9.3509794711726252E-4</v>
      </c>
      <c r="F12" s="155">
        <v>1</v>
      </c>
      <c r="G12" s="148">
        <f>SUMIF('МЗ РЦВК'!$B$5:$B$45,$B12,'МЗ РЦВК'!$C$5:$C$45)</f>
        <v>1400</v>
      </c>
      <c r="H12" s="488">
        <f t="shared" si="1"/>
        <v>1.3091371259641675</v>
      </c>
      <c r="I12" s="1083"/>
    </row>
    <row r="13" spans="1:9" outlineLevel="1" x14ac:dyDescent="0.25">
      <c r="A13" s="146">
        <v>3</v>
      </c>
      <c r="B13" s="445" t="s">
        <v>942</v>
      </c>
      <c r="C13" s="148">
        <f>'МЗ РЦВК'!$C$51*'МЗ РЦВК'!D7</f>
        <v>124</v>
      </c>
      <c r="D13" s="553">
        <f>D11</f>
        <v>265212.859</v>
      </c>
      <c r="E13" s="564">
        <f t="shared" si="0"/>
        <v>4.6754897355863126E-4</v>
      </c>
      <c r="F13" s="155">
        <v>2</v>
      </c>
      <c r="G13" s="148">
        <f>SUMIF('МЗ РЦВК'!$B$5:$B$45,$B13,'МЗ РЦВК'!$C$5:$C$45)</f>
        <v>260</v>
      </c>
      <c r="H13" s="488">
        <f t="shared" si="1"/>
        <v>6.0781366562622063E-2</v>
      </c>
      <c r="I13" s="1083"/>
    </row>
    <row r="14" spans="1:9" s="560" customFormat="1" ht="30" outlineLevel="1" x14ac:dyDescent="0.25">
      <c r="A14" s="146">
        <v>4</v>
      </c>
      <c r="B14" s="445" t="s">
        <v>955</v>
      </c>
      <c r="C14" s="148">
        <f>'МЗ РЦВК'!C48*'МЗ РЦВК'!D8</f>
        <v>80</v>
      </c>
      <c r="D14" s="553">
        <f>D12</f>
        <v>265212.859</v>
      </c>
      <c r="E14" s="564">
        <f t="shared" ref="E14" si="2">(C14/D14)</f>
        <v>3.0164449907008468E-4</v>
      </c>
      <c r="F14" s="155">
        <v>2</v>
      </c>
      <c r="G14" s="148">
        <f>SUMIF('МЗ РЦВК'!$B$5:$B$45,$B14,'МЗ РЦВК'!$C$5:$C$45)</f>
        <v>980</v>
      </c>
      <c r="H14" s="488">
        <f t="shared" si="1"/>
        <v>0.1478058045443415</v>
      </c>
      <c r="I14" s="1084"/>
    </row>
    <row r="15" spans="1:9" outlineLevel="1" x14ac:dyDescent="0.25">
      <c r="A15" s="146">
        <v>5</v>
      </c>
      <c r="B15" s="445" t="s">
        <v>943</v>
      </c>
      <c r="C15" s="148">
        <f>'МЗ РЦВК'!C50*'МЗ РЦВК'!D9</f>
        <v>54</v>
      </c>
      <c r="D15" s="553">
        <f>D11</f>
        <v>265212.859</v>
      </c>
      <c r="E15" s="154">
        <f t="shared" si="0"/>
        <v>2.0361003687230717E-4</v>
      </c>
      <c r="F15" s="155">
        <v>1</v>
      </c>
      <c r="G15" s="148">
        <f>SUMIF('МЗ РЦВК'!$B$5:$B$45,$B15,'МЗ РЦВК'!$C$5:$C$45)</f>
        <v>61</v>
      </c>
      <c r="H15" s="488">
        <f t="shared" si="1"/>
        <v>1.2420212249210737E-2</v>
      </c>
      <c r="I15" s="1083"/>
    </row>
    <row r="16" spans="1:9" outlineLevel="1" x14ac:dyDescent="0.25">
      <c r="A16" s="146">
        <v>6</v>
      </c>
      <c r="B16" s="445" t="s">
        <v>149</v>
      </c>
      <c r="C16" s="148">
        <f>'МЗ РЦВК'!$C$51*'МЗ РЦВК'!D10</f>
        <v>496</v>
      </c>
      <c r="D16" s="553">
        <f>D11</f>
        <v>265212.859</v>
      </c>
      <c r="E16" s="564">
        <f t="shared" si="0"/>
        <v>1.870195894234525E-3</v>
      </c>
      <c r="F16" s="155">
        <v>1</v>
      </c>
      <c r="G16" s="148">
        <f>SUMIF('МЗ РЦВК'!$B$5:$B$45,$B16,'МЗ РЦВК'!$C$5:$C$45)</f>
        <v>55</v>
      </c>
      <c r="H16" s="488">
        <f t="shared" si="1"/>
        <v>0.10286077418289888</v>
      </c>
      <c r="I16" s="1083"/>
    </row>
    <row r="17" spans="1:10" outlineLevel="1" x14ac:dyDescent="0.25">
      <c r="A17" s="146">
        <v>7</v>
      </c>
      <c r="B17" s="445" t="s">
        <v>150</v>
      </c>
      <c r="C17" s="148">
        <f>'МЗ РЦВК'!$C$51*'МЗ РЦВК'!D11</f>
        <v>992</v>
      </c>
      <c r="D17" s="553">
        <f>D11</f>
        <v>265212.859</v>
      </c>
      <c r="E17" s="564">
        <f t="shared" si="0"/>
        <v>3.7403917884690501E-3</v>
      </c>
      <c r="F17" s="155">
        <v>1</v>
      </c>
      <c r="G17" s="148">
        <f>SUMIF('МЗ РЦВК'!$B$5:$B$45,$B17,'МЗ РЦВК'!$C$5:$C$45)</f>
        <v>25</v>
      </c>
      <c r="H17" s="488">
        <f t="shared" si="1"/>
        <v>9.3509794711726255E-2</v>
      </c>
      <c r="I17" s="1083"/>
    </row>
    <row r="18" spans="1:10" outlineLevel="1" x14ac:dyDescent="0.25">
      <c r="A18" s="146">
        <v>8</v>
      </c>
      <c r="B18" s="147" t="s">
        <v>393</v>
      </c>
      <c r="C18" s="148">
        <f>D6</f>
        <v>61594</v>
      </c>
      <c r="D18" s="148">
        <f>$D$6</f>
        <v>61594</v>
      </c>
      <c r="E18" s="154">
        <f t="shared" si="0"/>
        <v>1</v>
      </c>
      <c r="F18" s="196" t="s">
        <v>350</v>
      </c>
      <c r="G18" s="148">
        <f>SUMIF('МЗ РЦВК'!$B$5:$B$45,$B18,'МЗ РЦВК'!$C$5:$C$45)</f>
        <v>3.7</v>
      </c>
      <c r="H18" s="488">
        <f>E18*G18</f>
        <v>3.7</v>
      </c>
      <c r="I18" s="1086"/>
      <c r="J18" s="165">
        <f>H18*D18</f>
        <v>227897.80000000002</v>
      </c>
    </row>
    <row r="19" spans="1:10" outlineLevel="1" x14ac:dyDescent="0.25">
      <c r="A19" s="146">
        <v>9</v>
      </c>
      <c r="B19" s="147" t="s">
        <v>351</v>
      </c>
      <c r="C19" s="148">
        <f>D6</f>
        <v>61594</v>
      </c>
      <c r="D19" s="148">
        <f t="shared" ref="D19:D32" si="3">$D$6</f>
        <v>61594</v>
      </c>
      <c r="E19" s="154">
        <f t="shared" si="0"/>
        <v>1</v>
      </c>
      <c r="F19" s="196" t="s">
        <v>350</v>
      </c>
      <c r="G19" s="148">
        <f>SUMIF('МЗ РЦВК'!$B$5:$B$45,$B19,'МЗ РЦВК'!$C$5:$C$45)</f>
        <v>2.0299999999999998</v>
      </c>
      <c r="H19" s="488">
        <f>E19*G19</f>
        <v>2.0299999999999998</v>
      </c>
      <c r="I19" s="1087"/>
      <c r="J19" s="165">
        <f t="shared" ref="J19:J32" si="4">H19*D19</f>
        <v>125035.81999999999</v>
      </c>
    </row>
    <row r="20" spans="1:10" s="172" customFormat="1" outlineLevel="1" x14ac:dyDescent="0.25">
      <c r="A20" s="146">
        <v>10</v>
      </c>
      <c r="B20" s="249" t="s">
        <v>352</v>
      </c>
      <c r="C20" s="559">
        <f>D6/2000</f>
        <v>30.797000000000001</v>
      </c>
      <c r="D20" s="148">
        <f t="shared" si="3"/>
        <v>61594</v>
      </c>
      <c r="E20" s="633">
        <f t="shared" si="0"/>
        <v>5.0000000000000001E-4</v>
      </c>
      <c r="F20" s="169">
        <v>1</v>
      </c>
      <c r="G20" s="148">
        <f>SUMIF('МЗ РЦВК'!$B$5:$B$45,$B20,'МЗ РЦВК'!$C$5:$C$45)</f>
        <v>1960.8</v>
      </c>
      <c r="H20" s="488">
        <f t="shared" si="1"/>
        <v>0.98040000000000005</v>
      </c>
      <c r="I20" s="1087"/>
      <c r="J20" s="165">
        <f t="shared" si="4"/>
        <v>60386.757600000004</v>
      </c>
    </row>
    <row r="21" spans="1:10" s="172" customFormat="1" outlineLevel="1" x14ac:dyDescent="0.25">
      <c r="A21" s="146">
        <v>11</v>
      </c>
      <c r="B21" s="445" t="s">
        <v>353</v>
      </c>
      <c r="C21" s="559">
        <f>$D$6/1000</f>
        <v>61.594000000000001</v>
      </c>
      <c r="D21" s="148">
        <f t="shared" si="3"/>
        <v>61594</v>
      </c>
      <c r="E21" s="633">
        <f t="shared" si="0"/>
        <v>1E-3</v>
      </c>
      <c r="F21" s="169">
        <v>1</v>
      </c>
      <c r="G21" s="148">
        <f>SUMIF('МЗ РЦВК'!$B$5:$B$45,$B21,'МЗ РЦВК'!$C$5:$C$45)</f>
        <v>15373.34</v>
      </c>
      <c r="H21" s="488">
        <f t="shared" si="1"/>
        <v>15.373340000000001</v>
      </c>
      <c r="I21" s="1087"/>
      <c r="J21" s="165">
        <f t="shared" si="4"/>
        <v>946905.50396</v>
      </c>
    </row>
    <row r="22" spans="1:10" s="172" customFormat="1" outlineLevel="1" x14ac:dyDescent="0.25">
      <c r="A22" s="146">
        <v>12</v>
      </c>
      <c r="B22" s="445" t="s">
        <v>354</v>
      </c>
      <c r="C22" s="559">
        <f>$D$6/5000</f>
        <v>12.3188</v>
      </c>
      <c r="D22" s="148">
        <f t="shared" si="3"/>
        <v>61594</v>
      </c>
      <c r="E22" s="633">
        <f t="shared" si="0"/>
        <v>1.9999999999999998E-4</v>
      </c>
      <c r="F22" s="169">
        <v>1</v>
      </c>
      <c r="G22" s="148">
        <f>SUMIF('МЗ РЦВК'!$B$5:$B$45,$B22,'МЗ РЦВК'!$C$5:$C$45)</f>
        <v>14495.39</v>
      </c>
      <c r="H22" s="488">
        <f t="shared" si="1"/>
        <v>2.8990779999999998</v>
      </c>
      <c r="I22" s="1087"/>
      <c r="J22" s="165">
        <f t="shared" si="4"/>
        <v>178565.81033199999</v>
      </c>
    </row>
    <row r="23" spans="1:10" s="172" customFormat="1" outlineLevel="1" x14ac:dyDescent="0.25">
      <c r="A23" s="146">
        <v>13</v>
      </c>
      <c r="B23" s="445" t="s">
        <v>355</v>
      </c>
      <c r="C23" s="559">
        <f>$D$6/2500</f>
        <v>24.637599999999999</v>
      </c>
      <c r="D23" s="148">
        <f t="shared" si="3"/>
        <v>61594</v>
      </c>
      <c r="E23" s="633">
        <f t="shared" si="0"/>
        <v>3.9999999999999996E-4</v>
      </c>
      <c r="F23" s="169">
        <v>1</v>
      </c>
      <c r="G23" s="148">
        <f>SUMIF('МЗ РЦВК'!$B$5:$B$45,$B23,'МЗ РЦВК'!$C$5:$C$45)</f>
        <v>3104.54</v>
      </c>
      <c r="H23" s="488">
        <f t="shared" si="1"/>
        <v>1.2418159999999998</v>
      </c>
      <c r="I23" s="1087"/>
      <c r="J23" s="165">
        <f t="shared" si="4"/>
        <v>76488.414703999995</v>
      </c>
    </row>
    <row r="24" spans="1:10" s="172" customFormat="1" outlineLevel="1" x14ac:dyDescent="0.25">
      <c r="A24" s="146">
        <v>14</v>
      </c>
      <c r="B24" s="445" t="s">
        <v>356</v>
      </c>
      <c r="C24" s="150">
        <f>D6</f>
        <v>61594</v>
      </c>
      <c r="D24" s="148">
        <f t="shared" si="3"/>
        <v>61594</v>
      </c>
      <c r="E24" s="169">
        <f t="shared" si="0"/>
        <v>1</v>
      </c>
      <c r="F24" s="169">
        <v>1</v>
      </c>
      <c r="G24" s="148">
        <f>SUMIF('МЗ РЦВК'!$B$5:$B$45,$B24,'МЗ РЦВК'!$C$5:$C$45)</f>
        <v>0</v>
      </c>
      <c r="H24" s="488">
        <f t="shared" si="1"/>
        <v>0</v>
      </c>
      <c r="I24" s="1087"/>
      <c r="J24" s="165">
        <f t="shared" si="4"/>
        <v>0</v>
      </c>
    </row>
    <row r="25" spans="1:10" s="172" customFormat="1" outlineLevel="1" x14ac:dyDescent="0.25">
      <c r="A25" s="146">
        <v>15</v>
      </c>
      <c r="B25" s="445" t="s">
        <v>357</v>
      </c>
      <c r="C25" s="150">
        <f>D6*18</f>
        <v>1108692</v>
      </c>
      <c r="D25" s="148">
        <f t="shared" si="3"/>
        <v>61594</v>
      </c>
      <c r="E25" s="169">
        <f t="shared" si="0"/>
        <v>18</v>
      </c>
      <c r="F25" s="169">
        <v>1</v>
      </c>
      <c r="G25" s="148">
        <f>SUMIF('МЗ РЦВК'!$B$5:$B$45,$B25,'МЗ РЦВК'!$C$5:$C$45)</f>
        <v>2.3199999999999998</v>
      </c>
      <c r="H25" s="488">
        <f t="shared" si="1"/>
        <v>41.76</v>
      </c>
      <c r="I25" s="1087"/>
      <c r="J25" s="165">
        <f t="shared" si="4"/>
        <v>2572165.44</v>
      </c>
    </row>
    <row r="26" spans="1:10" s="172" customFormat="1" ht="30" outlineLevel="1" x14ac:dyDescent="0.25">
      <c r="A26" s="146">
        <v>16</v>
      </c>
      <c r="B26" s="445" t="s">
        <v>358</v>
      </c>
      <c r="C26" s="559">
        <f t="shared" ref="C26:C27" si="5">$D$6/1000</f>
        <v>61.594000000000001</v>
      </c>
      <c r="D26" s="148">
        <f t="shared" si="3"/>
        <v>61594</v>
      </c>
      <c r="E26" s="633">
        <f t="shared" si="0"/>
        <v>1E-3</v>
      </c>
      <c r="F26" s="169">
        <v>1</v>
      </c>
      <c r="G26" s="148">
        <f>SUMIF('МЗ РЦВК'!$B$5:$B$45,$B26,'МЗ РЦВК'!$C$5:$C$45)</f>
        <v>5237.87</v>
      </c>
      <c r="H26" s="488">
        <f t="shared" si="1"/>
        <v>5.23787</v>
      </c>
      <c r="I26" s="1087"/>
      <c r="J26" s="165">
        <f t="shared" si="4"/>
        <v>322621.36478</v>
      </c>
    </row>
    <row r="27" spans="1:10" s="172" customFormat="1" ht="30" outlineLevel="1" x14ac:dyDescent="0.25">
      <c r="A27" s="146">
        <v>17</v>
      </c>
      <c r="B27" s="445" t="s">
        <v>359</v>
      </c>
      <c r="C27" s="559">
        <f t="shared" si="5"/>
        <v>61.594000000000001</v>
      </c>
      <c r="D27" s="148">
        <f t="shared" si="3"/>
        <v>61594</v>
      </c>
      <c r="E27" s="633">
        <f t="shared" si="0"/>
        <v>1E-3</v>
      </c>
      <c r="F27" s="169">
        <v>1</v>
      </c>
      <c r="G27" s="148">
        <f>SUMIF('МЗ РЦВК'!$B$5:$B$45,$B27,'МЗ РЦВК'!$C$5:$C$45)</f>
        <v>720.84</v>
      </c>
      <c r="H27" s="488">
        <f t="shared" si="1"/>
        <v>0.72084000000000004</v>
      </c>
      <c r="I27" s="1087"/>
      <c r="J27" s="165">
        <f t="shared" si="4"/>
        <v>44399.418960000003</v>
      </c>
    </row>
    <row r="28" spans="1:10" s="172" customFormat="1" outlineLevel="1" x14ac:dyDescent="0.25">
      <c r="A28" s="146">
        <v>18</v>
      </c>
      <c r="B28" s="445" t="s">
        <v>360</v>
      </c>
      <c r="C28" s="150">
        <f>$D$6/4.7619</f>
        <v>12934.752934752936</v>
      </c>
      <c r="D28" s="148">
        <f t="shared" si="3"/>
        <v>61594</v>
      </c>
      <c r="E28" s="633">
        <f t="shared" si="0"/>
        <v>0.21000021000021002</v>
      </c>
      <c r="F28" s="169">
        <v>1</v>
      </c>
      <c r="G28" s="148">
        <f>SUMIF('МЗ РЦВК'!$B$5:$B$45,$B28,'МЗ РЦВК'!$C$5:$C$45)</f>
        <v>15</v>
      </c>
      <c r="H28" s="488">
        <f t="shared" si="1"/>
        <v>3.1500031500031502</v>
      </c>
      <c r="I28" s="1087"/>
      <c r="J28" s="165">
        <f t="shared" si="4"/>
        <v>194021.29402129404</v>
      </c>
    </row>
    <row r="29" spans="1:10" s="172" customFormat="1" ht="30" outlineLevel="1" x14ac:dyDescent="0.25">
      <c r="A29" s="146">
        <v>19</v>
      </c>
      <c r="B29" s="445" t="s">
        <v>361</v>
      </c>
      <c r="C29" s="559">
        <f>$D$6/1000</f>
        <v>61.594000000000001</v>
      </c>
      <c r="D29" s="148">
        <f t="shared" si="3"/>
        <v>61594</v>
      </c>
      <c r="E29" s="633">
        <f t="shared" si="0"/>
        <v>1E-3</v>
      </c>
      <c r="F29" s="169">
        <v>1</v>
      </c>
      <c r="G29" s="148">
        <f>SUMIF('МЗ РЦВК'!$B$5:$B$45,$B29,'МЗ РЦВК'!$C$5:$C$45)</f>
        <v>2234.5700000000002</v>
      </c>
      <c r="H29" s="488">
        <f t="shared" si="1"/>
        <v>2.2345700000000002</v>
      </c>
      <c r="I29" s="1087"/>
      <c r="J29" s="165">
        <f t="shared" si="4"/>
        <v>137636.10458000001</v>
      </c>
    </row>
    <row r="30" spans="1:10" outlineLevel="1" x14ac:dyDescent="0.25">
      <c r="A30" s="146">
        <v>20</v>
      </c>
      <c r="B30" s="156" t="s">
        <v>362</v>
      </c>
      <c r="C30" s="148">
        <f>D6</f>
        <v>61594</v>
      </c>
      <c r="D30" s="148">
        <f t="shared" si="3"/>
        <v>61594</v>
      </c>
      <c r="E30" s="163">
        <f t="shared" si="0"/>
        <v>1</v>
      </c>
      <c r="F30" s="155">
        <v>1</v>
      </c>
      <c r="G30" s="148">
        <f>SUMIF('МЗ РЦВК'!$B$5:$B$45,$B30,'МЗ РЦВК'!$C$5:$C$45)</f>
        <v>0.72</v>
      </c>
      <c r="H30" s="488">
        <f t="shared" si="1"/>
        <v>0.72</v>
      </c>
      <c r="I30" s="1087"/>
      <c r="J30" s="165">
        <f t="shared" si="4"/>
        <v>44347.68</v>
      </c>
    </row>
    <row r="31" spans="1:10" outlineLevel="1" x14ac:dyDescent="0.25">
      <c r="A31" s="146">
        <v>21</v>
      </c>
      <c r="B31" s="156" t="s">
        <v>363</v>
      </c>
      <c r="C31" s="148">
        <f>D6*2</f>
        <v>123188</v>
      </c>
      <c r="D31" s="148">
        <f t="shared" si="3"/>
        <v>61594</v>
      </c>
      <c r="E31" s="163">
        <f t="shared" si="0"/>
        <v>2</v>
      </c>
      <c r="F31" s="155">
        <v>1</v>
      </c>
      <c r="G31" s="148">
        <f>SUMIF('МЗ РЦВК'!$B$5:$B$45,$B31,'МЗ РЦВК'!$C$5:$C$45)</f>
        <v>0.39</v>
      </c>
      <c r="H31" s="488">
        <f t="shared" si="1"/>
        <v>0.78</v>
      </c>
      <c r="I31" s="1087"/>
      <c r="J31" s="165">
        <f t="shared" si="4"/>
        <v>48043.32</v>
      </c>
    </row>
    <row r="32" spans="1:10" outlineLevel="1" x14ac:dyDescent="0.25">
      <c r="A32" s="146">
        <v>22</v>
      </c>
      <c r="B32" s="156" t="s">
        <v>364</v>
      </c>
      <c r="C32" s="148">
        <f>D6</f>
        <v>61594</v>
      </c>
      <c r="D32" s="148">
        <f t="shared" si="3"/>
        <v>61594</v>
      </c>
      <c r="E32" s="163">
        <f t="shared" si="0"/>
        <v>1</v>
      </c>
      <c r="F32" s="155">
        <v>1</v>
      </c>
      <c r="G32" s="148">
        <f>SUMIF('МЗ РЦВК'!$B$5:$B$45,$B32,'МЗ РЦВК'!$C$5:$C$45)</f>
        <v>3.5</v>
      </c>
      <c r="H32" s="488">
        <f>(E32*G32/F32)</f>
        <v>3.5</v>
      </c>
      <c r="I32" s="1087"/>
      <c r="J32" s="165">
        <f t="shared" si="4"/>
        <v>215579</v>
      </c>
    </row>
    <row r="33" spans="1:11" s="172" customFormat="1" x14ac:dyDescent="0.25">
      <c r="A33" s="1072" t="s">
        <v>365</v>
      </c>
      <c r="B33" s="1073"/>
      <c r="C33" s="1073"/>
      <c r="D33" s="1073"/>
      <c r="E33" s="1073"/>
      <c r="F33" s="1073"/>
      <c r="G33" s="1074"/>
      <c r="H33" s="253">
        <f>SUM(H11:H32)</f>
        <v>86.709000791200197</v>
      </c>
      <c r="I33" s="1088"/>
      <c r="J33" s="165">
        <f>SUM(J18:J32)</f>
        <v>5194093.7289372953</v>
      </c>
    </row>
    <row r="34" spans="1:11" ht="67.5" x14ac:dyDescent="0.25">
      <c r="A34" s="141" t="s">
        <v>0</v>
      </c>
      <c r="B34" s="141" t="s">
        <v>9</v>
      </c>
      <c r="C34" s="900" t="s">
        <v>1278</v>
      </c>
      <c r="D34" s="141" t="s">
        <v>123</v>
      </c>
      <c r="E34" s="141" t="s">
        <v>10</v>
      </c>
      <c r="F34" s="141" t="s">
        <v>15</v>
      </c>
      <c r="G34" s="141" t="s">
        <v>939</v>
      </c>
      <c r="H34" s="141" t="s">
        <v>347</v>
      </c>
      <c r="I34" s="141" t="s">
        <v>4</v>
      </c>
    </row>
    <row r="35" spans="1:11" s="119" customFormat="1" ht="11.25" x14ac:dyDescent="0.25">
      <c r="A35" s="142">
        <v>1</v>
      </c>
      <c r="B35" s="142">
        <v>2</v>
      </c>
      <c r="C35" s="142">
        <v>3</v>
      </c>
      <c r="D35" s="142">
        <v>4</v>
      </c>
      <c r="E35" s="142" t="s">
        <v>5</v>
      </c>
      <c r="F35" s="142">
        <v>6</v>
      </c>
      <c r="G35" s="142">
        <v>7</v>
      </c>
      <c r="H35" s="142" t="s">
        <v>12</v>
      </c>
      <c r="I35" s="142">
        <v>9</v>
      </c>
    </row>
    <row r="36" spans="1:11" x14ac:dyDescent="0.25">
      <c r="A36" s="1085" t="s">
        <v>16</v>
      </c>
      <c r="B36" s="1085"/>
      <c r="C36" s="1085"/>
      <c r="D36" s="1085"/>
      <c r="E36" s="1085"/>
      <c r="F36" s="1085"/>
      <c r="G36" s="1085"/>
      <c r="H36" s="1085"/>
      <c r="I36" s="1085"/>
    </row>
    <row r="37" spans="1:11" ht="30" outlineLevel="1" x14ac:dyDescent="0.25">
      <c r="A37" s="146">
        <v>1</v>
      </c>
      <c r="B37" s="147" t="s">
        <v>366</v>
      </c>
      <c r="C37" s="148">
        <v>1</v>
      </c>
      <c r="D37" s="149">
        <f>$D$6</f>
        <v>61594</v>
      </c>
      <c r="E37" s="633">
        <f t="shared" ref="E37" si="6">(C37/D37)</f>
        <v>1.6235347598792089E-5</v>
      </c>
      <c r="F37" s="155">
        <v>1</v>
      </c>
      <c r="G37" s="148">
        <v>162000</v>
      </c>
      <c r="H37" s="481">
        <f>E37*G37/F37</f>
        <v>2.6301263110043185</v>
      </c>
      <c r="I37" s="979"/>
      <c r="J37" s="165">
        <v>162000</v>
      </c>
      <c r="K37" s="134">
        <f>J37/D37</f>
        <v>2.6301263110043185</v>
      </c>
    </row>
    <row r="38" spans="1:11" s="172" customFormat="1" x14ac:dyDescent="0.25">
      <c r="A38" s="1072"/>
      <c r="B38" s="1073"/>
      <c r="C38" s="1073"/>
      <c r="D38" s="1073"/>
      <c r="E38" s="1073"/>
      <c r="F38" s="1073"/>
      <c r="G38" s="1074"/>
      <c r="H38" s="248">
        <f>SUM(H37)</f>
        <v>2.6301263110043185</v>
      </c>
      <c r="I38" s="1071"/>
    </row>
    <row r="39" spans="1:11" x14ac:dyDescent="0.25">
      <c r="A39" s="1075" t="s">
        <v>18</v>
      </c>
      <c r="B39" s="1076"/>
      <c r="C39" s="1076"/>
      <c r="D39" s="1076"/>
      <c r="E39" s="1076"/>
      <c r="F39" s="1076"/>
      <c r="G39" s="1077"/>
      <c r="H39" s="164">
        <f>H38+H33+H7</f>
        <v>146.57432710220451</v>
      </c>
      <c r="I39" s="155"/>
    </row>
  </sheetData>
  <mergeCells count="10">
    <mergeCell ref="I37:I38"/>
    <mergeCell ref="A38:G38"/>
    <mergeCell ref="A39:G39"/>
    <mergeCell ref="A1:I1"/>
    <mergeCell ref="A7:G7"/>
    <mergeCell ref="A10:I10"/>
    <mergeCell ref="I11:I17"/>
    <mergeCell ref="A33:G33"/>
    <mergeCell ref="A36:I36"/>
    <mergeCell ref="I18:I33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1"/>
  <sheetViews>
    <sheetView workbookViewId="0">
      <selection activeCell="E6" sqref="E6:K6"/>
    </sheetView>
  </sheetViews>
  <sheetFormatPr defaultRowHeight="15" x14ac:dyDescent="0.25"/>
  <cols>
    <col min="1" max="1" width="29.5703125" style="134" customWidth="1"/>
    <col min="2" max="4" width="10" style="134" customWidth="1"/>
    <col min="5" max="11" width="7.7109375" style="134" customWidth="1"/>
    <col min="12" max="12" width="16.42578125" style="134" customWidth="1"/>
    <col min="13" max="16384" width="9.140625" style="134"/>
  </cols>
  <sheetData>
    <row r="1" spans="1:12" x14ac:dyDescent="0.25">
      <c r="A1" s="1089" t="s">
        <v>514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2" s="293" customFormat="1" ht="7.5" customHeight="1" x14ac:dyDescent="0.25">
      <c r="A2" s="397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397"/>
    </row>
    <row r="3" spans="1:12" ht="28.5" customHeight="1" x14ac:dyDescent="0.25">
      <c r="A3" s="1090" t="s">
        <v>160</v>
      </c>
      <c r="B3" s="1092" t="s">
        <v>161</v>
      </c>
      <c r="C3" s="1093"/>
      <c r="D3" s="1094"/>
      <c r="E3" s="1092" t="s">
        <v>162</v>
      </c>
      <c r="F3" s="1093"/>
      <c r="G3" s="1093"/>
      <c r="H3" s="1093"/>
      <c r="I3" s="1093"/>
      <c r="J3" s="1093"/>
      <c r="K3" s="1094"/>
      <c r="L3" s="1090" t="s">
        <v>163</v>
      </c>
    </row>
    <row r="4" spans="1:12" x14ac:dyDescent="0.25">
      <c r="A4" s="1091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91"/>
    </row>
    <row r="5" spans="1:12" s="11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ht="89.25" x14ac:dyDescent="0.25">
      <c r="A6" s="130" t="s">
        <v>368</v>
      </c>
      <c r="B6" s="160">
        <f>№1!H7</f>
        <v>57.235200000000006</v>
      </c>
      <c r="C6" s="160">
        <f>№1!H33</f>
        <v>86.709000791200197</v>
      </c>
      <c r="D6" s="160">
        <f>№1!H38</f>
        <v>2.6301263110043185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60">
        <f>SUM(B6:K6)</f>
        <v>295.37001249918632</v>
      </c>
    </row>
    <row r="11" spans="1:12" x14ac:dyDescent="0.25">
      <c r="F11" s="135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6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F6" sqref="F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0" style="60" hidden="1" customWidth="1"/>
    <col min="11" max="16384" width="8.85546875" style="60"/>
  </cols>
  <sheetData>
    <row r="1" spans="1:9" x14ac:dyDescent="0.25">
      <c r="A1" s="1078" t="s">
        <v>516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476" t="s">
        <v>339</v>
      </c>
      <c r="B3" s="477" t="s">
        <v>1</v>
      </c>
      <c r="C3" s="476" t="s">
        <v>344</v>
      </c>
      <c r="D3" s="477" t="s">
        <v>123</v>
      </c>
      <c r="E3" s="476" t="s">
        <v>2</v>
      </c>
      <c r="F3" s="476" t="s">
        <v>345</v>
      </c>
      <c r="G3" s="477" t="s">
        <v>346</v>
      </c>
      <c r="H3" s="477" t="s">
        <v>347</v>
      </c>
      <c r="I3" s="477" t="s">
        <v>4</v>
      </c>
    </row>
    <row r="4" spans="1:9" s="123" customFormat="1" ht="11.25" x14ac:dyDescent="0.25">
      <c r="A4" s="484">
        <v>1</v>
      </c>
      <c r="B4" s="484">
        <v>2</v>
      </c>
      <c r="C4" s="484">
        <v>3</v>
      </c>
      <c r="D4" s="484">
        <v>4</v>
      </c>
      <c r="E4" s="484" t="s">
        <v>158</v>
      </c>
      <c r="F4" s="484"/>
      <c r="G4" s="484">
        <v>6</v>
      </c>
      <c r="H4" s="484" t="s">
        <v>6</v>
      </c>
      <c r="I4" s="484">
        <v>8</v>
      </c>
    </row>
    <row r="5" spans="1:9" x14ac:dyDescent="0.25">
      <c r="A5" s="1099" t="s">
        <v>7</v>
      </c>
      <c r="B5" s="1100"/>
      <c r="C5" s="1100"/>
      <c r="D5" s="1100"/>
      <c r="E5" s="1100"/>
      <c r="F5" s="1100"/>
      <c r="G5" s="1100"/>
      <c r="H5" s="1100"/>
      <c r="I5" s="1101"/>
    </row>
    <row r="6" spans="1:9" ht="102" outlineLevel="1" x14ac:dyDescent="0.25">
      <c r="A6" s="491" t="s">
        <v>129</v>
      </c>
      <c r="B6" s="147" t="str">
        <f>№1!B6</f>
        <v>Основной персонал (ветеринарные и лабораторные специалисты)</v>
      </c>
      <c r="C6" s="872">
        <f>'ФВ РЦВК'!O7</f>
        <v>700</v>
      </c>
      <c r="D6" s="872">
        <f>'ФВ РЦВК'!G7</f>
        <v>2800</v>
      </c>
      <c r="E6" s="873">
        <f>C6/D6</f>
        <v>0.25</v>
      </c>
      <c r="F6" s="872">
        <f>№1!F6</f>
        <v>49567.094099296366</v>
      </c>
      <c r="G6" s="874">
        <f>№1!G6</f>
        <v>260.16000000000003</v>
      </c>
      <c r="H6" s="150">
        <f>E6*G6</f>
        <v>65.040000000000006</v>
      </c>
      <c r="I6" s="151" t="str">
        <f>№1!I6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98" t="s">
        <v>8</v>
      </c>
      <c r="B7" s="1098"/>
      <c r="C7" s="1098"/>
      <c r="D7" s="1098"/>
      <c r="E7" s="1098"/>
      <c r="F7" s="1098"/>
      <c r="G7" s="1098"/>
      <c r="H7" s="483">
        <f>SUM(H6:H6)</f>
        <v>65.040000000000006</v>
      </c>
      <c r="I7" s="456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484">
        <v>1</v>
      </c>
      <c r="B9" s="484">
        <v>2</v>
      </c>
      <c r="C9" s="484">
        <v>3</v>
      </c>
      <c r="D9" s="484">
        <v>4</v>
      </c>
      <c r="E9" s="484" t="s">
        <v>5</v>
      </c>
      <c r="F9" s="484">
        <v>6</v>
      </c>
      <c r="G9" s="484">
        <v>7</v>
      </c>
      <c r="H9" s="484" t="s">
        <v>12</v>
      </c>
      <c r="I9" s="484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outlineLevel="1" x14ac:dyDescent="0.25">
      <c r="A11" s="485">
        <v>1</v>
      </c>
      <c r="B11" s="147" t="s">
        <v>940</v>
      </c>
      <c r="C11" s="148">
        <f>'МЗ РЦВК'!$C$51*'МЗ РЦВК'!D5</f>
        <v>248</v>
      </c>
      <c r="D11" s="554">
        <f>№1!D11</f>
        <v>265212.859</v>
      </c>
      <c r="E11" s="486">
        <f t="shared" ref="E11:E17" si="0">C11/D11</f>
        <v>9.3509794711726252E-4</v>
      </c>
      <c r="F11" s="486">
        <v>1</v>
      </c>
      <c r="G11" s="148">
        <f>SUMIF('МЗ РЦВК'!$B$5:$B$45,$B11,'МЗ РЦВК'!$C$5:$C$45)</f>
        <v>700</v>
      </c>
      <c r="H11" s="488">
        <f>(E11*G11/F11)</f>
        <v>0.65456856298208377</v>
      </c>
      <c r="I11" s="1095" t="s">
        <v>348</v>
      </c>
    </row>
    <row r="12" spans="1:9" ht="30" outlineLevel="1" x14ac:dyDescent="0.25">
      <c r="A12" s="485">
        <v>2</v>
      </c>
      <c r="B12" s="147" t="s">
        <v>941</v>
      </c>
      <c r="C12" s="148">
        <f>'МЗ РЦВК'!$C$51*'МЗ РЦВК'!D6</f>
        <v>248</v>
      </c>
      <c r="D12" s="555">
        <f t="shared" ref="D12:D17" si="1">$D$11</f>
        <v>265212.859</v>
      </c>
      <c r="E12" s="486">
        <f t="shared" si="0"/>
        <v>9.3509794711726252E-4</v>
      </c>
      <c r="F12" s="486">
        <v>1</v>
      </c>
      <c r="G12" s="148">
        <f>SUMIF('МЗ РЦВК'!$B$5:$B$45,$B12,'МЗ РЦВК'!$C$5:$C$45)</f>
        <v>1400</v>
      </c>
      <c r="H12" s="488">
        <f t="shared" ref="H12:H17" si="2">(E12*G12/F12)</f>
        <v>1.3091371259641675</v>
      </c>
      <c r="I12" s="1095"/>
    </row>
    <row r="13" spans="1:9" outlineLevel="1" x14ac:dyDescent="0.25">
      <c r="A13" s="485">
        <v>3</v>
      </c>
      <c r="B13" s="147" t="s">
        <v>942</v>
      </c>
      <c r="C13" s="148">
        <f>'МЗ РЦВК'!$C$51*'МЗ РЦВК'!D7</f>
        <v>124</v>
      </c>
      <c r="D13" s="555">
        <f t="shared" si="1"/>
        <v>265212.859</v>
      </c>
      <c r="E13" s="486">
        <f t="shared" si="0"/>
        <v>4.6754897355863126E-4</v>
      </c>
      <c r="F13" s="486">
        <v>2</v>
      </c>
      <c r="G13" s="148">
        <f>SUMIF('МЗ РЦВК'!$B$5:$B$45,$B13,'МЗ РЦВК'!$C$5:$C$45)</f>
        <v>260</v>
      </c>
      <c r="H13" s="488">
        <f t="shared" si="2"/>
        <v>6.0781366562622063E-2</v>
      </c>
      <c r="I13" s="1095"/>
    </row>
    <row r="14" spans="1:9" ht="30" outlineLevel="1" x14ac:dyDescent="0.25">
      <c r="A14" s="485">
        <v>4</v>
      </c>
      <c r="B14" s="147" t="s">
        <v>955</v>
      </c>
      <c r="C14" s="148">
        <f>'МЗ РЦВК'!C48*'МЗ РЦВК'!D8</f>
        <v>80</v>
      </c>
      <c r="D14" s="555">
        <f t="shared" si="1"/>
        <v>265212.859</v>
      </c>
      <c r="E14" s="566">
        <f t="shared" si="0"/>
        <v>3.0164449907008468E-4</v>
      </c>
      <c r="F14" s="486">
        <v>2</v>
      </c>
      <c r="G14" s="148">
        <f>SUMIF('МЗ РЦВК'!$B$5:$B$45,$B14,'МЗ РЦВК'!$C$5:$C$45)</f>
        <v>980</v>
      </c>
      <c r="H14" s="488">
        <f t="shared" si="2"/>
        <v>0.1478058045443415</v>
      </c>
      <c r="I14" s="1095"/>
    </row>
    <row r="15" spans="1:9" outlineLevel="1" x14ac:dyDescent="0.25">
      <c r="A15" s="485">
        <v>5</v>
      </c>
      <c r="B15" s="147" t="s">
        <v>943</v>
      </c>
      <c r="C15" s="148">
        <f>'МЗ РЦВК'!C50*'МЗ РЦВК'!D9</f>
        <v>54</v>
      </c>
      <c r="D15" s="555">
        <f t="shared" si="1"/>
        <v>265212.859</v>
      </c>
      <c r="E15" s="486">
        <f t="shared" si="0"/>
        <v>2.0361003687230717E-4</v>
      </c>
      <c r="F15" s="486">
        <v>1</v>
      </c>
      <c r="G15" s="148">
        <f>SUMIF('МЗ РЦВК'!$B$5:$B$45,$B15,'МЗ РЦВК'!$C$5:$C$45)</f>
        <v>61</v>
      </c>
      <c r="H15" s="488">
        <f t="shared" si="2"/>
        <v>1.2420212249210737E-2</v>
      </c>
      <c r="I15" s="1095"/>
    </row>
    <row r="16" spans="1:9" outlineLevel="1" x14ac:dyDescent="0.25">
      <c r="A16" s="485">
        <v>6</v>
      </c>
      <c r="B16" s="147" t="s">
        <v>149</v>
      </c>
      <c r="C16" s="148">
        <f>'МЗ РЦВК'!$C$51*'МЗ РЦВК'!D10</f>
        <v>496</v>
      </c>
      <c r="D16" s="555">
        <f t="shared" si="1"/>
        <v>265212.859</v>
      </c>
      <c r="E16" s="486">
        <f t="shared" si="0"/>
        <v>1.870195894234525E-3</v>
      </c>
      <c r="F16" s="486">
        <v>1</v>
      </c>
      <c r="G16" s="148">
        <f>SUMIF('МЗ РЦВК'!$B$5:$B$45,$B16,'МЗ РЦВК'!$C$5:$C$45)</f>
        <v>55</v>
      </c>
      <c r="H16" s="488">
        <f t="shared" si="2"/>
        <v>0.10286077418289888</v>
      </c>
      <c r="I16" s="1095"/>
    </row>
    <row r="17" spans="1:10" outlineLevel="1" x14ac:dyDescent="0.25">
      <c r="A17" s="485">
        <v>7</v>
      </c>
      <c r="B17" s="147" t="s">
        <v>150</v>
      </c>
      <c r="C17" s="148">
        <f>'МЗ РЦВК'!$C$51*'МЗ РЦВК'!D11</f>
        <v>992</v>
      </c>
      <c r="D17" s="555">
        <f t="shared" si="1"/>
        <v>265212.859</v>
      </c>
      <c r="E17" s="486">
        <f t="shared" si="0"/>
        <v>3.7403917884690501E-3</v>
      </c>
      <c r="F17" s="486">
        <v>1</v>
      </c>
      <c r="G17" s="148">
        <f>SUMIF('МЗ РЦВК'!$B$5:$B$45,$B17,'МЗ РЦВК'!$C$5:$C$45)</f>
        <v>25</v>
      </c>
      <c r="H17" s="488">
        <f t="shared" si="2"/>
        <v>9.3509794711726255E-2</v>
      </c>
      <c r="I17" s="1095"/>
    </row>
    <row r="18" spans="1:10" outlineLevel="1" x14ac:dyDescent="0.25">
      <c r="A18" s="485">
        <v>8</v>
      </c>
      <c r="B18" s="147" t="s">
        <v>393</v>
      </c>
      <c r="C18" s="480">
        <f>D6</f>
        <v>2800</v>
      </c>
      <c r="D18" s="555">
        <f>D6</f>
        <v>2800</v>
      </c>
      <c r="E18" s="486">
        <f t="shared" ref="E18:E19" si="3">C18/D18</f>
        <v>1</v>
      </c>
      <c r="F18" s="486">
        <v>1</v>
      </c>
      <c r="G18" s="148">
        <f>SUMIF('МЗ РЦВК'!$B$5:$B$45,$B18,'МЗ РЦВК'!$C$5:$C$45)</f>
        <v>3.7</v>
      </c>
      <c r="H18" s="488">
        <f t="shared" ref="H18:H19" si="4">(E18*G18/F18)</f>
        <v>3.7</v>
      </c>
      <c r="I18" s="1102"/>
      <c r="J18" s="165">
        <f>H18*D18</f>
        <v>10360</v>
      </c>
    </row>
    <row r="19" spans="1:10" outlineLevel="1" x14ac:dyDescent="0.25">
      <c r="A19" s="485">
        <v>9</v>
      </c>
      <c r="B19" s="147" t="s">
        <v>351</v>
      </c>
      <c r="C19" s="480">
        <f>№2!D6</f>
        <v>2800</v>
      </c>
      <c r="D19" s="555">
        <f>D6</f>
        <v>2800</v>
      </c>
      <c r="E19" s="486">
        <f t="shared" si="3"/>
        <v>1</v>
      </c>
      <c r="F19" s="486">
        <v>1</v>
      </c>
      <c r="G19" s="148">
        <f>SUMIF('МЗ РЦВК'!$B$5:$B$45,$B19,'МЗ РЦВК'!$C$5:$C$45)</f>
        <v>2.0299999999999998</v>
      </c>
      <c r="H19" s="488">
        <f t="shared" si="4"/>
        <v>2.0299999999999998</v>
      </c>
      <c r="I19" s="1103"/>
      <c r="J19" s="165">
        <f>H19*D19</f>
        <v>5683.9999999999991</v>
      </c>
    </row>
    <row r="20" spans="1:10" x14ac:dyDescent="0.25">
      <c r="A20" s="1096" t="s">
        <v>14</v>
      </c>
      <c r="B20" s="1096"/>
      <c r="C20" s="1096"/>
      <c r="D20" s="1096"/>
      <c r="E20" s="1096"/>
      <c r="F20" s="1096"/>
      <c r="G20" s="1096"/>
      <c r="H20" s="483">
        <f>SUM(H11:H19)</f>
        <v>8.1110836411970499</v>
      </c>
      <c r="I20" s="1104"/>
      <c r="J20" s="165">
        <f>SUM(J18:J19)</f>
        <v>16044</v>
      </c>
    </row>
    <row r="21" spans="1:10" s="123" customFormat="1" ht="67.5" x14ac:dyDescent="0.25">
      <c r="A21" s="141" t="s">
        <v>0</v>
      </c>
      <c r="B21" s="141" t="s">
        <v>9</v>
      </c>
      <c r="C21" s="637" t="s">
        <v>1278</v>
      </c>
      <c r="D21" s="141" t="s">
        <v>123</v>
      </c>
      <c r="E21" s="141" t="s">
        <v>10</v>
      </c>
      <c r="F21" s="141" t="s">
        <v>15</v>
      </c>
      <c r="G21" s="141" t="s">
        <v>939</v>
      </c>
      <c r="H21" s="141" t="s">
        <v>347</v>
      </c>
      <c r="I21" s="141" t="s">
        <v>4</v>
      </c>
    </row>
    <row r="22" spans="1:10" s="123" customFormat="1" ht="11.25" x14ac:dyDescent="0.25">
      <c r="A22" s="484">
        <v>1</v>
      </c>
      <c r="B22" s="484">
        <v>2</v>
      </c>
      <c r="C22" s="484">
        <v>3</v>
      </c>
      <c r="D22" s="484">
        <v>4</v>
      </c>
      <c r="E22" s="484" t="s">
        <v>5</v>
      </c>
      <c r="F22" s="484">
        <v>6</v>
      </c>
      <c r="G22" s="484">
        <v>7</v>
      </c>
      <c r="H22" s="484" t="s">
        <v>12</v>
      </c>
      <c r="I22" s="484">
        <v>9</v>
      </c>
    </row>
    <row r="23" spans="1:10" x14ac:dyDescent="0.25">
      <c r="A23" s="1082" t="s">
        <v>16</v>
      </c>
      <c r="B23" s="1082"/>
      <c r="C23" s="1082"/>
      <c r="D23" s="1082"/>
      <c r="E23" s="1082"/>
      <c r="F23" s="1082"/>
      <c r="G23" s="1082"/>
      <c r="H23" s="1082"/>
      <c r="I23" s="1082"/>
    </row>
    <row r="24" spans="1:10" outlineLevel="1" x14ac:dyDescent="0.25">
      <c r="A24" s="485">
        <v>1</v>
      </c>
      <c r="B24" s="494" t="s">
        <v>317</v>
      </c>
      <c r="C24" s="148">
        <f>$D$6*E24</f>
        <v>16800</v>
      </c>
      <c r="D24" s="148">
        <f>D6</f>
        <v>2800</v>
      </c>
      <c r="E24" s="622">
        <f>3*2</f>
        <v>6</v>
      </c>
      <c r="F24" s="486">
        <v>1</v>
      </c>
      <c r="G24" s="121">
        <f>250/500</f>
        <v>0.5</v>
      </c>
      <c r="H24" s="488">
        <f>E24*G24/F24</f>
        <v>3</v>
      </c>
      <c r="I24" s="1095" t="s">
        <v>505</v>
      </c>
    </row>
    <row r="25" spans="1:10" ht="15" customHeight="1" x14ac:dyDescent="0.25">
      <c r="A25" s="1096" t="s">
        <v>17</v>
      </c>
      <c r="B25" s="1096"/>
      <c r="C25" s="1096"/>
      <c r="D25" s="1096"/>
      <c r="E25" s="1096"/>
      <c r="F25" s="1096"/>
      <c r="G25" s="1096"/>
      <c r="H25" s="483">
        <f>SUM(H24:H24)</f>
        <v>3</v>
      </c>
      <c r="I25" s="1095"/>
    </row>
    <row r="26" spans="1:10" x14ac:dyDescent="0.25">
      <c r="A26" s="1097" t="s">
        <v>18</v>
      </c>
      <c r="B26" s="1097"/>
      <c r="C26" s="1097"/>
      <c r="D26" s="1097"/>
      <c r="E26" s="1097"/>
      <c r="F26" s="1097"/>
      <c r="G26" s="1097"/>
      <c r="H26" s="495">
        <f>H25+H20+H7</f>
        <v>76.151083641197062</v>
      </c>
      <c r="I26" s="486"/>
    </row>
  </sheetData>
  <mergeCells count="11">
    <mergeCell ref="A1:I1"/>
    <mergeCell ref="A23:I23"/>
    <mergeCell ref="I24:I25"/>
    <mergeCell ref="A25:G25"/>
    <mergeCell ref="A26:G26"/>
    <mergeCell ref="A7:G7"/>
    <mergeCell ref="A10:I10"/>
    <mergeCell ref="A20:G20"/>
    <mergeCell ref="A5:I5"/>
    <mergeCell ref="I11:I17"/>
    <mergeCell ref="I18:I20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515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7.5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63.75" x14ac:dyDescent="0.25">
      <c r="A6" s="130" t="s">
        <v>183</v>
      </c>
      <c r="B6" s="131">
        <f>№2!H7</f>
        <v>65.040000000000006</v>
      </c>
      <c r="C6" s="131">
        <f>№2!H20</f>
        <v>8.1110836411970499</v>
      </c>
      <c r="D6" s="131">
        <f>№2!H25</f>
        <v>3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31">
        <f>SUM(B6:K6)</f>
        <v>224.94676903817879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4" sqref="H24"/>
    </sheetView>
  </sheetViews>
  <sheetFormatPr defaultRowHeight="15" outlineLevelRow="1" x14ac:dyDescent="0.25"/>
  <cols>
    <col min="1" max="1" width="7.28515625" style="134" customWidth="1"/>
    <col min="2" max="2" width="29.5703125" style="134" customWidth="1"/>
    <col min="3" max="3" width="17" style="134" customWidth="1"/>
    <col min="4" max="4" width="14.7109375" style="134" customWidth="1"/>
    <col min="5" max="5" width="15.140625" style="134" customWidth="1"/>
    <col min="6" max="6" width="17.28515625" style="134" customWidth="1"/>
    <col min="7" max="7" width="19.5703125" style="134" customWidth="1"/>
    <col min="8" max="8" width="11.5703125" style="134" customWidth="1"/>
    <col min="9" max="9" width="49.28515625" style="134" customWidth="1"/>
    <col min="10" max="11" width="9.140625" style="134" customWidth="1"/>
    <col min="12" max="16384" width="9.140625" style="134"/>
  </cols>
  <sheetData>
    <row r="1" spans="1:9" x14ac:dyDescent="0.25">
      <c r="A1" s="1078" t="s">
        <v>1283</v>
      </c>
      <c r="B1" s="1078"/>
      <c r="C1" s="1078"/>
      <c r="D1" s="1078"/>
      <c r="E1" s="1078"/>
      <c r="F1" s="1078"/>
      <c r="G1" s="1078"/>
      <c r="H1" s="1078"/>
      <c r="I1" s="1078"/>
    </row>
    <row r="2" spans="1:9" s="451" customFormat="1" ht="6" customHeight="1" x14ac:dyDescent="0.25">
      <c r="A2" s="473"/>
      <c r="B2" s="473"/>
      <c r="C2" s="473"/>
      <c r="D2" s="473"/>
      <c r="E2" s="473"/>
      <c r="F2" s="473"/>
      <c r="G2" s="473"/>
      <c r="H2" s="473"/>
      <c r="I2" s="473"/>
    </row>
    <row r="3" spans="1:9" ht="89.25" x14ac:dyDescent="0.25">
      <c r="A3" s="476" t="s">
        <v>339</v>
      </c>
      <c r="B3" s="477" t="s">
        <v>1</v>
      </c>
      <c r="C3" s="476" t="s">
        <v>344</v>
      </c>
      <c r="D3" s="477" t="s">
        <v>123</v>
      </c>
      <c r="E3" s="476" t="s">
        <v>2</v>
      </c>
      <c r="F3" s="476" t="s">
        <v>345</v>
      </c>
      <c r="G3" s="477" t="s">
        <v>346</v>
      </c>
      <c r="H3" s="477" t="s">
        <v>347</v>
      </c>
      <c r="I3" s="477" t="s">
        <v>4</v>
      </c>
    </row>
    <row r="4" spans="1:9" s="119" customFormat="1" ht="11.25" x14ac:dyDescent="0.25">
      <c r="A4" s="478">
        <v>1</v>
      </c>
      <c r="B4" s="478">
        <v>2</v>
      </c>
      <c r="C4" s="478">
        <v>3</v>
      </c>
      <c r="D4" s="478">
        <v>4</v>
      </c>
      <c r="E4" s="478" t="s">
        <v>158</v>
      </c>
      <c r="F4" s="478"/>
      <c r="G4" s="478">
        <v>6</v>
      </c>
      <c r="H4" s="478" t="s">
        <v>6</v>
      </c>
      <c r="I4" s="478">
        <v>8</v>
      </c>
    </row>
    <row r="5" spans="1:9" x14ac:dyDescent="0.25">
      <c r="A5" s="1113" t="s">
        <v>7</v>
      </c>
      <c r="B5" s="1114"/>
      <c r="C5" s="1114"/>
      <c r="D5" s="1114"/>
      <c r="E5" s="1114"/>
      <c r="F5" s="1114"/>
      <c r="G5" s="1114"/>
      <c r="H5" s="1114"/>
      <c r="I5" s="1115"/>
    </row>
    <row r="6" spans="1:9" ht="102" outlineLevel="1" x14ac:dyDescent="0.25">
      <c r="A6" s="623" t="s">
        <v>129</v>
      </c>
      <c r="B6" s="147" t="str">
        <f>№2!B6</f>
        <v>Основной персонал (ветеринарные и лабораторные специалисты)</v>
      </c>
      <c r="C6" s="505">
        <f>'ФВ РЦВК'!O8</f>
        <v>2.3800000000000003</v>
      </c>
      <c r="D6" s="505">
        <f>'ФВ РЦВК'!G8</f>
        <v>14</v>
      </c>
      <c r="E6" s="480">
        <f>C6/D6</f>
        <v>0.17</v>
      </c>
      <c r="F6" s="505">
        <f>№2!F6</f>
        <v>49567.094099296366</v>
      </c>
      <c r="G6" s="505">
        <f>№2!G6</f>
        <v>260.16000000000003</v>
      </c>
      <c r="H6" s="150">
        <f>E6*G6</f>
        <v>44.227200000000011</v>
      </c>
      <c r="I6" s="491" t="str">
        <f>№2!I6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s="172" customFormat="1" x14ac:dyDescent="0.25">
      <c r="A7" s="1098" t="s">
        <v>8</v>
      </c>
      <c r="B7" s="1098"/>
      <c r="C7" s="1098"/>
      <c r="D7" s="1098"/>
      <c r="E7" s="1098"/>
      <c r="F7" s="1098"/>
      <c r="G7" s="1098"/>
      <c r="H7" s="483">
        <f>SUM(H6:H6)</f>
        <v>44.227200000000011</v>
      </c>
      <c r="I7" s="482"/>
    </row>
    <row r="8" spans="1:9" s="172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474" customFormat="1" ht="11.25" x14ac:dyDescent="0.25">
      <c r="A9" s="484">
        <v>1</v>
      </c>
      <c r="B9" s="484">
        <v>2</v>
      </c>
      <c r="C9" s="484">
        <v>3</v>
      </c>
      <c r="D9" s="484">
        <v>4</v>
      </c>
      <c r="E9" s="484" t="s">
        <v>158</v>
      </c>
      <c r="F9" s="484">
        <v>6</v>
      </c>
      <c r="G9" s="484">
        <v>7</v>
      </c>
      <c r="H9" s="484" t="s">
        <v>12</v>
      </c>
      <c r="I9" s="484">
        <v>9</v>
      </c>
    </row>
    <row r="10" spans="1:9" s="172" customFormat="1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s="172" customFormat="1" ht="15" customHeight="1" outlineLevel="1" x14ac:dyDescent="0.25">
      <c r="A11" s="485">
        <v>1</v>
      </c>
      <c r="B11" s="147" t="s">
        <v>940</v>
      </c>
      <c r="C11" s="148">
        <f>'МЗ РЦВК'!$C$51*'МЗ РЦВК'!D5</f>
        <v>248</v>
      </c>
      <c r="D11" s="554">
        <f>№2!D11</f>
        <v>265212.859</v>
      </c>
      <c r="E11" s="486">
        <f t="shared" ref="E11:E17" si="0">(C11/D11)</f>
        <v>9.3509794711726252E-4</v>
      </c>
      <c r="F11" s="486">
        <v>1</v>
      </c>
      <c r="G11" s="148">
        <f>SUMIF('МЗ РЦВК'!$B$5:$B$45,$B11,'МЗ РЦВК'!$C$5:$C$45)</f>
        <v>700</v>
      </c>
      <c r="H11" s="481">
        <f>(C11/D11*G11/F11)</f>
        <v>0.65456856298208377</v>
      </c>
      <c r="I11" s="1102" t="s">
        <v>348</v>
      </c>
    </row>
    <row r="12" spans="1:9" s="172" customFormat="1" ht="30" outlineLevel="1" x14ac:dyDescent="0.25">
      <c r="A12" s="485">
        <v>2</v>
      </c>
      <c r="B12" s="147" t="s">
        <v>941</v>
      </c>
      <c r="C12" s="148">
        <f>'МЗ РЦВК'!$C$51*'МЗ РЦВК'!D6</f>
        <v>248</v>
      </c>
      <c r="D12" s="555">
        <f t="shared" ref="D12:D17" si="1">$D$11</f>
        <v>265212.859</v>
      </c>
      <c r="E12" s="486">
        <f t="shared" si="0"/>
        <v>9.3509794711726252E-4</v>
      </c>
      <c r="F12" s="486">
        <v>1</v>
      </c>
      <c r="G12" s="148">
        <f>SUMIF('МЗ РЦВК'!$B$5:$B$45,$B12,'МЗ РЦВК'!$C$5:$C$45)</f>
        <v>1400</v>
      </c>
      <c r="H12" s="481">
        <f t="shared" ref="H12:H17" si="2">(C12/D12*G12/F12)</f>
        <v>1.3091371259641675</v>
      </c>
      <c r="I12" s="1103"/>
    </row>
    <row r="13" spans="1:9" s="172" customFormat="1" outlineLevel="1" x14ac:dyDescent="0.25">
      <c r="A13" s="485">
        <v>3</v>
      </c>
      <c r="B13" s="147" t="s">
        <v>942</v>
      </c>
      <c r="C13" s="148">
        <f>'МЗ РЦВК'!$C$51*'МЗ РЦВК'!D7</f>
        <v>124</v>
      </c>
      <c r="D13" s="555">
        <f t="shared" si="1"/>
        <v>265212.859</v>
      </c>
      <c r="E13" s="566">
        <f t="shared" si="0"/>
        <v>4.6754897355863126E-4</v>
      </c>
      <c r="F13" s="486">
        <v>2</v>
      </c>
      <c r="G13" s="148">
        <f>SUMIF('МЗ РЦВК'!$B$5:$B$45,$B13,'МЗ РЦВК'!$C$5:$C$45)</f>
        <v>260</v>
      </c>
      <c r="H13" s="481">
        <f t="shared" si="2"/>
        <v>6.0781366562622063E-2</v>
      </c>
      <c r="I13" s="1103"/>
    </row>
    <row r="14" spans="1:9" s="172" customFormat="1" ht="30" outlineLevel="1" x14ac:dyDescent="0.25">
      <c r="A14" s="485">
        <v>4</v>
      </c>
      <c r="B14" s="147" t="s">
        <v>955</v>
      </c>
      <c r="C14" s="148">
        <f>'МЗ РЦВК'!C48*'МЗ РЦВК'!D8</f>
        <v>80</v>
      </c>
      <c r="D14" s="555">
        <f t="shared" si="1"/>
        <v>265212.859</v>
      </c>
      <c r="E14" s="566">
        <f t="shared" si="0"/>
        <v>3.0164449907008468E-4</v>
      </c>
      <c r="F14" s="486">
        <v>2</v>
      </c>
      <c r="G14" s="148">
        <f>SUMIF('МЗ РЦВК'!$B$5:$B$45,$B14,'МЗ РЦВК'!$C$5:$C$45)</f>
        <v>980</v>
      </c>
      <c r="H14" s="481">
        <f t="shared" si="2"/>
        <v>0.1478058045443415</v>
      </c>
      <c r="I14" s="1103"/>
    </row>
    <row r="15" spans="1:9" s="172" customFormat="1" outlineLevel="1" x14ac:dyDescent="0.25">
      <c r="A15" s="485">
        <v>5</v>
      </c>
      <c r="B15" s="147" t="s">
        <v>943</v>
      </c>
      <c r="C15" s="148">
        <f>'МЗ РЦВК'!C50*'МЗ РЦВК'!D9</f>
        <v>54</v>
      </c>
      <c r="D15" s="555">
        <f t="shared" si="1"/>
        <v>265212.859</v>
      </c>
      <c r="E15" s="566">
        <f t="shared" si="0"/>
        <v>2.0361003687230717E-4</v>
      </c>
      <c r="F15" s="486">
        <v>1</v>
      </c>
      <c r="G15" s="148">
        <f>SUMIF('МЗ РЦВК'!$B$5:$B$45,$B15,'МЗ РЦВК'!$C$5:$C$45)</f>
        <v>61</v>
      </c>
      <c r="H15" s="481">
        <f t="shared" si="2"/>
        <v>1.2420212249210737E-2</v>
      </c>
      <c r="I15" s="1103"/>
    </row>
    <row r="16" spans="1:9" s="172" customFormat="1" outlineLevel="1" x14ac:dyDescent="0.25">
      <c r="A16" s="485">
        <v>6</v>
      </c>
      <c r="B16" s="147" t="s">
        <v>149</v>
      </c>
      <c r="C16" s="148">
        <f>'МЗ РЦВК'!$C$51*'МЗ РЦВК'!D10</f>
        <v>496</v>
      </c>
      <c r="D16" s="555">
        <f t="shared" si="1"/>
        <v>265212.859</v>
      </c>
      <c r="E16" s="566">
        <f t="shared" ref="E16" si="3">(C16/D16)</f>
        <v>1.870195894234525E-3</v>
      </c>
      <c r="F16" s="486">
        <v>1</v>
      </c>
      <c r="G16" s="148">
        <f>SUMIF('МЗ РЦВК'!$B$5:$B$45,$B16,'МЗ РЦВК'!$C$5:$C$45)</f>
        <v>55</v>
      </c>
      <c r="H16" s="481">
        <f t="shared" si="2"/>
        <v>0.10286077418289888</v>
      </c>
      <c r="I16" s="1103"/>
    </row>
    <row r="17" spans="1:9" s="172" customFormat="1" outlineLevel="1" x14ac:dyDescent="0.25">
      <c r="A17" s="485">
        <v>7</v>
      </c>
      <c r="B17" s="147" t="s">
        <v>150</v>
      </c>
      <c r="C17" s="148">
        <f>'МЗ РЦВК'!$C$51*'МЗ РЦВК'!D11</f>
        <v>992</v>
      </c>
      <c r="D17" s="555">
        <f t="shared" si="1"/>
        <v>265212.859</v>
      </c>
      <c r="E17" s="566">
        <f t="shared" si="0"/>
        <v>3.7403917884690501E-3</v>
      </c>
      <c r="F17" s="486">
        <v>1</v>
      </c>
      <c r="G17" s="148">
        <f>SUMIF('МЗ РЦВК'!$B$5:$B$45,$B17,'МЗ РЦВК'!$C$5:$C$45)</f>
        <v>25</v>
      </c>
      <c r="H17" s="481">
        <f t="shared" si="2"/>
        <v>9.3509794711726255E-2</v>
      </c>
      <c r="I17" s="1103"/>
    </row>
    <row r="18" spans="1:9" s="172" customFormat="1" x14ac:dyDescent="0.25">
      <c r="A18" s="1096" t="s">
        <v>365</v>
      </c>
      <c r="B18" s="1096"/>
      <c r="C18" s="1096"/>
      <c r="D18" s="1096"/>
      <c r="E18" s="1096"/>
      <c r="F18" s="1096"/>
      <c r="G18" s="1096"/>
      <c r="H18" s="483">
        <f>SUM(H11:H17)</f>
        <v>2.3810836411970504</v>
      </c>
      <c r="I18" s="1104"/>
    </row>
    <row r="19" spans="1:9" s="172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474" customFormat="1" ht="11.25" x14ac:dyDescent="0.25">
      <c r="A20" s="484">
        <v>1</v>
      </c>
      <c r="B20" s="484">
        <v>2</v>
      </c>
      <c r="C20" s="484">
        <v>3</v>
      </c>
      <c r="D20" s="484">
        <v>4</v>
      </c>
      <c r="E20" s="484" t="s">
        <v>5</v>
      </c>
      <c r="F20" s="484">
        <v>6</v>
      </c>
      <c r="G20" s="484">
        <v>7</v>
      </c>
      <c r="H20" s="484" t="s">
        <v>12</v>
      </c>
      <c r="I20" s="484">
        <v>9</v>
      </c>
    </row>
    <row r="21" spans="1:9" s="172" customFormat="1" x14ac:dyDescent="0.25">
      <c r="A21" s="1082" t="s">
        <v>16</v>
      </c>
      <c r="B21" s="1082"/>
      <c r="C21" s="1082"/>
      <c r="D21" s="1082"/>
      <c r="E21" s="1082"/>
      <c r="F21" s="1082"/>
      <c r="G21" s="1082"/>
      <c r="H21" s="1082"/>
      <c r="I21" s="1082"/>
    </row>
    <row r="22" spans="1:9" s="172" customFormat="1" outlineLevel="1" x14ac:dyDescent="0.25">
      <c r="A22" s="485">
        <v>1</v>
      </c>
      <c r="B22" s="494" t="s">
        <v>317</v>
      </c>
      <c r="C22" s="148">
        <f>$D$6*E22</f>
        <v>28</v>
      </c>
      <c r="D22" s="148">
        <f>D6</f>
        <v>14</v>
      </c>
      <c r="E22" s="486">
        <v>2</v>
      </c>
      <c r="F22" s="486">
        <v>1</v>
      </c>
      <c r="G22" s="488">
        <f>№2!G24</f>
        <v>0.5</v>
      </c>
      <c r="H22" s="481">
        <f>C22/D22*G22</f>
        <v>1</v>
      </c>
      <c r="I22" s="1095" t="str">
        <f>№2!I24</f>
        <v>стоимость 1 пачки  250 руб, 500 листов</v>
      </c>
    </row>
    <row r="23" spans="1:9" s="172" customFormat="1" x14ac:dyDescent="0.25">
      <c r="A23" s="1096"/>
      <c r="B23" s="1096"/>
      <c r="C23" s="1096"/>
      <c r="D23" s="1096"/>
      <c r="E23" s="1096"/>
      <c r="F23" s="1096"/>
      <c r="G23" s="1096"/>
      <c r="H23" s="483">
        <f>SUM(H22)</f>
        <v>1</v>
      </c>
      <c r="I23" s="1095"/>
    </row>
    <row r="24" spans="1:9" x14ac:dyDescent="0.25">
      <c r="A24" s="1097" t="s">
        <v>18</v>
      </c>
      <c r="B24" s="1097"/>
      <c r="C24" s="1097"/>
      <c r="D24" s="1097"/>
      <c r="E24" s="1097"/>
      <c r="F24" s="1097"/>
      <c r="G24" s="1097"/>
      <c r="H24" s="489">
        <f>H23+H18+H7</f>
        <v>47.608283641197062</v>
      </c>
      <c r="I24" s="490"/>
    </row>
  </sheetData>
  <mergeCells count="10">
    <mergeCell ref="I22:I23"/>
    <mergeCell ref="A23:G23"/>
    <mergeCell ref="A24:G24"/>
    <mergeCell ref="A1:I1"/>
    <mergeCell ref="A7:G7"/>
    <mergeCell ref="A10:I10"/>
    <mergeCell ref="A18:G18"/>
    <mergeCell ref="A21:I21"/>
    <mergeCell ref="A5:I5"/>
    <mergeCell ref="I11:I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134" customWidth="1"/>
    <col min="2" max="4" width="10" style="134" customWidth="1"/>
    <col min="5" max="11" width="7.7109375" style="134" customWidth="1"/>
    <col min="12" max="12" width="16.42578125" style="134" customWidth="1"/>
    <col min="13" max="16384" width="9.140625" style="134"/>
  </cols>
  <sheetData>
    <row r="1" spans="1:12" x14ac:dyDescent="0.25">
      <c r="A1" s="1116" t="s">
        <v>517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</row>
    <row r="2" spans="1:12" s="401" customFormat="1" ht="7.5" customHeigh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399"/>
    </row>
    <row r="3" spans="1:12" ht="28.5" customHeight="1" x14ac:dyDescent="0.25">
      <c r="A3" s="1090" t="s">
        <v>160</v>
      </c>
      <c r="B3" s="1092" t="s">
        <v>161</v>
      </c>
      <c r="C3" s="1093"/>
      <c r="D3" s="1094"/>
      <c r="E3" s="1092" t="s">
        <v>162</v>
      </c>
      <c r="F3" s="1093"/>
      <c r="G3" s="1093"/>
      <c r="H3" s="1093"/>
      <c r="I3" s="1093"/>
      <c r="J3" s="1093"/>
      <c r="K3" s="1094"/>
      <c r="L3" s="1090" t="s">
        <v>163</v>
      </c>
    </row>
    <row r="4" spans="1:12" x14ac:dyDescent="0.25">
      <c r="A4" s="1091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91"/>
    </row>
    <row r="5" spans="1:12" s="11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ht="51" x14ac:dyDescent="0.25">
      <c r="A6" s="130" t="s">
        <v>42</v>
      </c>
      <c r="B6" s="160">
        <f>№3!H7</f>
        <v>44.227200000000011</v>
      </c>
      <c r="C6" s="160">
        <f>№3!H18</f>
        <v>2.3810836411970504</v>
      </c>
      <c r="D6" s="160">
        <f>№3!H23</f>
        <v>1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60">
        <f>SUM(B6:K6)</f>
        <v>196.40396903817879</v>
      </c>
    </row>
    <row r="7" spans="1:12" hidden="1" x14ac:dyDescent="0.25">
      <c r="L7" s="134">
        <v>147.18688538557217</v>
      </c>
    </row>
    <row r="18" spans="6:6" x14ac:dyDescent="0.25">
      <c r="F18" s="135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9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8" sqref="H2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0" style="60" hidden="1" customWidth="1"/>
    <col min="11" max="16384" width="8.85546875" style="60"/>
  </cols>
  <sheetData>
    <row r="1" spans="1:9" x14ac:dyDescent="0.25">
      <c r="A1" s="1078" t="s">
        <v>518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476" t="s">
        <v>339</v>
      </c>
      <c r="B3" s="477" t="s">
        <v>1</v>
      </c>
      <c r="C3" s="476" t="s">
        <v>344</v>
      </c>
      <c r="D3" s="477" t="s">
        <v>123</v>
      </c>
      <c r="E3" s="476" t="s">
        <v>2</v>
      </c>
      <c r="F3" s="476" t="s">
        <v>345</v>
      </c>
      <c r="G3" s="477" t="s">
        <v>346</v>
      </c>
      <c r="H3" s="477" t="s">
        <v>347</v>
      </c>
      <c r="I3" s="477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№3!B6</f>
        <v>Основной персонал (ветеринарные и лабораторные специалисты)</v>
      </c>
      <c r="C6" s="875">
        <f>'ФВ РЦВК'!O9</f>
        <v>6434.75</v>
      </c>
      <c r="D6" s="875">
        <f>'ФВ РЦВК'!G9</f>
        <v>3677</v>
      </c>
      <c r="E6" s="23">
        <f>ROUND(C6/D6,2)</f>
        <v>1.75</v>
      </c>
      <c r="F6" s="875">
        <f>№1!F6</f>
        <v>49567.094099296366</v>
      </c>
      <c r="G6" s="876">
        <f>№1!G6</f>
        <v>260.16000000000003</v>
      </c>
      <c r="H6" s="150">
        <f>E6*G6</f>
        <v>455.28000000000003</v>
      </c>
      <c r="I6" s="491" t="str">
        <f>№1!I6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455.28000000000003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№3!D11</f>
        <v>265212.859</v>
      </c>
      <c r="E11" s="43">
        <f t="shared" ref="E11:E18" si="0"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(E11*G11/F11)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1">$D$11</f>
        <v>265212.859</v>
      </c>
      <c r="E12" s="43">
        <f t="shared" si="0"/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22" si="2">(E12*G12/F12)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1"/>
        <v>265212.859</v>
      </c>
      <c r="E13" s="624">
        <f t="shared" si="0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30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1"/>
        <v>265212.859</v>
      </c>
      <c r="E14" s="624">
        <f t="shared" si="0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1"/>
        <v>265212.859</v>
      </c>
      <c r="E15" s="624">
        <f t="shared" si="0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1"/>
        <v>265212.859</v>
      </c>
      <c r="E16" s="624">
        <f t="shared" ref="E16" si="3"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10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1"/>
        <v>265212.859</v>
      </c>
      <c r="E17" s="624">
        <f t="shared" si="0"/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10" outlineLevel="1" x14ac:dyDescent="0.25">
      <c r="A18" s="19">
        <v>8</v>
      </c>
      <c r="B18" s="479" t="s">
        <v>393</v>
      </c>
      <c r="C18" s="480">
        <f>$D$6*1</f>
        <v>3677</v>
      </c>
      <c r="D18" s="481">
        <f>$D$6</f>
        <v>3677</v>
      </c>
      <c r="E18" s="625">
        <f t="shared" si="0"/>
        <v>1</v>
      </c>
      <c r="F18" s="486">
        <v>1</v>
      </c>
      <c r="G18" s="148">
        <f>SUMIF('МЗ РЦВК'!$B$5:$B$45,$B18,'МЗ РЦВК'!$C$5:$C$45)</f>
        <v>3.7</v>
      </c>
      <c r="H18" s="121">
        <f t="shared" ref="H18" si="4">(E18*G18/F18)</f>
        <v>3.7</v>
      </c>
      <c r="I18" s="1102"/>
      <c r="J18" s="165">
        <f>H18*D18</f>
        <v>13604.900000000001</v>
      </c>
    </row>
    <row r="19" spans="1:10" outlineLevel="1" x14ac:dyDescent="0.25">
      <c r="A19" s="19">
        <v>9</v>
      </c>
      <c r="B19" s="479" t="s">
        <v>351</v>
      </c>
      <c r="C19" s="480">
        <f>$D$6*1</f>
        <v>3677</v>
      </c>
      <c r="D19" s="481">
        <f>$D$6</f>
        <v>3677</v>
      </c>
      <c r="E19" s="625">
        <f t="shared" ref="E19:E21" si="5">C19/D19</f>
        <v>1</v>
      </c>
      <c r="F19" s="486">
        <v>1</v>
      </c>
      <c r="G19" s="148">
        <f>SUMIF('МЗ РЦВК'!$B$5:$B$45,$B19,'МЗ РЦВК'!$C$5:$C$45)</f>
        <v>2.0299999999999998</v>
      </c>
      <c r="H19" s="121">
        <f t="shared" ref="H19" si="6">(E19*G19/F19)</f>
        <v>2.0299999999999998</v>
      </c>
      <c r="I19" s="1103"/>
      <c r="J19" s="165">
        <f t="shared" ref="J19:J22" si="7">H19*D19</f>
        <v>7464.3099999999995</v>
      </c>
    </row>
    <row r="20" spans="1:10" outlineLevel="1" x14ac:dyDescent="0.25">
      <c r="A20" s="19">
        <v>10</v>
      </c>
      <c r="B20" s="479" t="s">
        <v>363</v>
      </c>
      <c r="C20" s="480">
        <f>14*20</f>
        <v>280</v>
      </c>
      <c r="D20" s="481">
        <f>$D$6</f>
        <v>3677</v>
      </c>
      <c r="E20" s="624">
        <f t="shared" si="5"/>
        <v>7.6149034539026383E-2</v>
      </c>
      <c r="F20" s="486">
        <v>1</v>
      </c>
      <c r="G20" s="148">
        <f>SUMIF('МЗ РЦВК'!$B$5:$B$45,$B20,'МЗ РЦВК'!$C$5:$C$45)</f>
        <v>0.39</v>
      </c>
      <c r="H20" s="121">
        <f t="shared" ref="H20" si="8">(E20*G20/F20)</f>
        <v>2.969812347022029E-2</v>
      </c>
      <c r="I20" s="1103"/>
      <c r="J20" s="165">
        <f t="shared" si="7"/>
        <v>109.2</v>
      </c>
    </row>
    <row r="21" spans="1:10" outlineLevel="1" x14ac:dyDescent="0.25">
      <c r="A21" s="19">
        <v>11</v>
      </c>
      <c r="B21" s="479" t="s">
        <v>369</v>
      </c>
      <c r="C21" s="480">
        <f>14*1</f>
        <v>14</v>
      </c>
      <c r="D21" s="481">
        <f>$D$6</f>
        <v>3677</v>
      </c>
      <c r="E21" s="624">
        <f t="shared" si="5"/>
        <v>3.8074517269513189E-3</v>
      </c>
      <c r="F21" s="486">
        <v>1</v>
      </c>
      <c r="G21" s="148">
        <f>SUMIF('МЗ РЦВК'!$B$5:$B$45,$B21,'МЗ РЦВК'!$C$5:$C$45)</f>
        <v>0.37</v>
      </c>
      <c r="H21" s="121">
        <f>(E21*G21/F21)</f>
        <v>1.4087571389719881E-3</v>
      </c>
      <c r="I21" s="1103"/>
      <c r="J21" s="165">
        <f t="shared" si="7"/>
        <v>5.18</v>
      </c>
    </row>
    <row r="22" spans="1:10" outlineLevel="1" x14ac:dyDescent="0.25">
      <c r="A22" s="19">
        <v>12</v>
      </c>
      <c r="B22" s="54" t="s">
        <v>947</v>
      </c>
      <c r="C22" s="509">
        <f>D6*24</f>
        <v>88248</v>
      </c>
      <c r="D22" s="481">
        <f>$D$6</f>
        <v>3677</v>
      </c>
      <c r="E22" s="43">
        <f>C22/D22</f>
        <v>24</v>
      </c>
      <c r="F22" s="43">
        <v>5</v>
      </c>
      <c r="G22" s="44">
        <f>SUMIF(Лист4!$B$96:$B$110,$B22,Лист4!$C$96:$C$110)</f>
        <v>5</v>
      </c>
      <c r="H22" s="121">
        <f t="shared" si="2"/>
        <v>24</v>
      </c>
      <c r="I22" s="1103"/>
      <c r="J22" s="165">
        <f t="shared" si="7"/>
        <v>88248</v>
      </c>
    </row>
    <row r="23" spans="1:10" ht="15" customHeight="1" x14ac:dyDescent="0.25">
      <c r="A23" s="1072" t="s">
        <v>14</v>
      </c>
      <c r="B23" s="1124"/>
      <c r="C23" s="1124"/>
      <c r="D23" s="1124"/>
      <c r="E23" s="1124"/>
      <c r="F23" s="1124"/>
      <c r="G23" s="1125"/>
      <c r="H23" s="122">
        <f>SUM(H11:H22)</f>
        <v>32.142190521806242</v>
      </c>
      <c r="I23" s="1104"/>
      <c r="J23" s="165">
        <f>SUM(J18:J22)</f>
        <v>109431.59</v>
      </c>
    </row>
    <row r="24" spans="1:10" s="123" customFormat="1" ht="67.5" x14ac:dyDescent="0.25">
      <c r="A24" s="141" t="s">
        <v>0</v>
      </c>
      <c r="B24" s="141" t="s">
        <v>9</v>
      </c>
      <c r="C24" s="637" t="s">
        <v>1278</v>
      </c>
      <c r="D24" s="141" t="s">
        <v>123</v>
      </c>
      <c r="E24" s="141" t="s">
        <v>10</v>
      </c>
      <c r="F24" s="141" t="s">
        <v>15</v>
      </c>
      <c r="G24" s="141" t="s">
        <v>939</v>
      </c>
      <c r="H24" s="141" t="s">
        <v>347</v>
      </c>
      <c r="I24" s="141" t="s">
        <v>4</v>
      </c>
    </row>
    <row r="25" spans="1:10" s="123" customFormat="1" ht="11.25" x14ac:dyDescent="0.25">
      <c r="A25" s="8">
        <v>1</v>
      </c>
      <c r="B25" s="8">
        <v>2</v>
      </c>
      <c r="C25" s="8">
        <v>3</v>
      </c>
      <c r="D25" s="8">
        <v>4</v>
      </c>
      <c r="E25" s="8" t="s">
        <v>5</v>
      </c>
      <c r="F25" s="8">
        <v>6</v>
      </c>
      <c r="G25" s="8">
        <v>7</v>
      </c>
      <c r="H25" s="8" t="s">
        <v>12</v>
      </c>
      <c r="I25" s="8">
        <v>9</v>
      </c>
    </row>
    <row r="26" spans="1:10" x14ac:dyDescent="0.25">
      <c r="A26" s="1117" t="s">
        <v>16</v>
      </c>
      <c r="B26" s="1117"/>
      <c r="C26" s="1117"/>
      <c r="D26" s="1117"/>
      <c r="E26" s="1117"/>
      <c r="F26" s="1117"/>
      <c r="G26" s="1117"/>
      <c r="H26" s="1117"/>
      <c r="I26" s="1117"/>
    </row>
    <row r="27" spans="1:10" outlineLevel="1" x14ac:dyDescent="0.25">
      <c r="A27" s="19">
        <v>1</v>
      </c>
      <c r="B27" s="124" t="s">
        <v>317</v>
      </c>
      <c r="C27" s="512">
        <f>$D$6*E27</f>
        <v>7354</v>
      </c>
      <c r="D27" s="44">
        <f>D6</f>
        <v>3677</v>
      </c>
      <c r="E27" s="43">
        <v>2</v>
      </c>
      <c r="F27" s="43">
        <v>1</v>
      </c>
      <c r="G27" s="121">
        <f>№3!G22</f>
        <v>0.5</v>
      </c>
      <c r="H27" s="121">
        <f>E27*G27/F27</f>
        <v>1</v>
      </c>
      <c r="I27" s="1118" t="str">
        <f>№3!I22</f>
        <v>стоимость 1 пачки  250 руб, 500 листов</v>
      </c>
    </row>
    <row r="28" spans="1:10" x14ac:dyDescent="0.25">
      <c r="A28" s="1120" t="s">
        <v>17</v>
      </c>
      <c r="B28" s="1121"/>
      <c r="C28" s="1121"/>
      <c r="D28" s="1121"/>
      <c r="E28" s="1121"/>
      <c r="F28" s="1121"/>
      <c r="G28" s="1122"/>
      <c r="H28" s="122">
        <f>SUM(H27:H27)</f>
        <v>1</v>
      </c>
      <c r="I28" s="1119"/>
    </row>
    <row r="29" spans="1:10" x14ac:dyDescent="0.25">
      <c r="A29" s="1097" t="s">
        <v>18</v>
      </c>
      <c r="B29" s="1097"/>
      <c r="C29" s="1097"/>
      <c r="D29" s="1097"/>
      <c r="E29" s="1097"/>
      <c r="F29" s="1097"/>
      <c r="G29" s="1097"/>
      <c r="H29" s="489">
        <f>H28+H23+H7</f>
        <v>488.42219052180627</v>
      </c>
      <c r="I29" s="43"/>
    </row>
  </sheetData>
  <mergeCells count="10">
    <mergeCell ref="A1:I1"/>
    <mergeCell ref="A26:I26"/>
    <mergeCell ref="I27:I28"/>
    <mergeCell ref="A28:G28"/>
    <mergeCell ref="A29:G29"/>
    <mergeCell ref="A7:G7"/>
    <mergeCell ref="A10:I10"/>
    <mergeCell ref="A23:G23"/>
    <mergeCell ref="I11:I17"/>
    <mergeCell ref="I18:I23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519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7.5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76.5" x14ac:dyDescent="0.25">
      <c r="A6" s="130" t="s">
        <v>190</v>
      </c>
      <c r="B6" s="131">
        <f>№4!H7</f>
        <v>455.28000000000003</v>
      </c>
      <c r="C6" s="131">
        <f>№4!H23</f>
        <v>32.142190521806242</v>
      </c>
      <c r="D6" s="131">
        <f>№4!H28</f>
        <v>1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31">
        <f>SUM(B6:K6)</f>
        <v>637.21787591878797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J38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36" sqref="H36"/>
    </sheetView>
  </sheetViews>
  <sheetFormatPr defaultRowHeight="15" outlineLevelRow="1" x14ac:dyDescent="0.25"/>
  <cols>
    <col min="1" max="1" width="7.28515625" style="134" customWidth="1"/>
    <col min="2" max="2" width="29.5703125" style="134" customWidth="1"/>
    <col min="3" max="3" width="17" style="134" customWidth="1"/>
    <col min="4" max="4" width="14.7109375" style="134" customWidth="1"/>
    <col min="5" max="5" width="15.140625" style="134" customWidth="1"/>
    <col min="6" max="6" width="17.28515625" style="134" customWidth="1"/>
    <col min="7" max="7" width="19.5703125" style="134" customWidth="1"/>
    <col min="8" max="8" width="11.5703125" style="134" customWidth="1"/>
    <col min="9" max="9" width="49.28515625" style="134" customWidth="1"/>
    <col min="10" max="10" width="10" style="134" hidden="1" customWidth="1"/>
    <col min="11" max="11" width="9.140625" style="134" customWidth="1"/>
    <col min="12" max="16384" width="9.140625" style="134"/>
  </cols>
  <sheetData>
    <row r="1" spans="1:9" x14ac:dyDescent="0.25">
      <c r="A1" s="1078" t="s">
        <v>1282</v>
      </c>
      <c r="B1" s="1078"/>
      <c r="C1" s="1078"/>
      <c r="D1" s="1078"/>
      <c r="E1" s="1078"/>
      <c r="F1" s="1078"/>
      <c r="G1" s="1078"/>
      <c r="H1" s="1078"/>
      <c r="I1" s="1078"/>
    </row>
    <row r="2" spans="1:9" s="451" customFormat="1" ht="6" customHeight="1" x14ac:dyDescent="0.25">
      <c r="A2" s="473"/>
      <c r="B2" s="473"/>
      <c r="C2" s="473"/>
      <c r="D2" s="473"/>
      <c r="E2" s="473"/>
      <c r="F2" s="473"/>
      <c r="G2" s="473"/>
      <c r="H2" s="473"/>
      <c r="I2" s="473"/>
    </row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19" customFormat="1" ht="11.25" x14ac:dyDescent="0.25">
      <c r="A4" s="142">
        <v>1</v>
      </c>
      <c r="B4" s="142">
        <v>2</v>
      </c>
      <c r="C4" s="142">
        <v>3</v>
      </c>
      <c r="D4" s="142">
        <v>4</v>
      </c>
      <c r="E4" s="142" t="s">
        <v>158</v>
      </c>
      <c r="F4" s="142"/>
      <c r="G4" s="142">
        <v>6</v>
      </c>
      <c r="H4" s="142" t="s">
        <v>6</v>
      </c>
      <c r="I4" s="142">
        <v>8</v>
      </c>
    </row>
    <row r="5" spans="1:9" x14ac:dyDescent="0.25">
      <c r="A5" s="143" t="s">
        <v>7</v>
      </c>
      <c r="B5" s="144"/>
      <c r="C5" s="144"/>
      <c r="D5" s="144"/>
      <c r="E5" s="144"/>
      <c r="F5" s="144"/>
      <c r="G5" s="144"/>
      <c r="H5" s="144"/>
      <c r="I5" s="145"/>
    </row>
    <row r="6" spans="1:9" ht="102" outlineLevel="1" x14ac:dyDescent="0.25">
      <c r="A6" s="146">
        <v>211.21299999999999</v>
      </c>
      <c r="B6" s="147" t="str">
        <f>№4!B6</f>
        <v>Основной персонал (ветеринарные и лабораторные специалисты)</v>
      </c>
      <c r="C6" s="501">
        <f>'ФВ РЦВК'!O10</f>
        <v>550</v>
      </c>
      <c r="D6" s="501">
        <f>'ФВ РЦВК'!G10</f>
        <v>275</v>
      </c>
      <c r="E6" s="148">
        <f>C6/D6</f>
        <v>2</v>
      </c>
      <c r="F6" s="501">
        <f>№4!F6</f>
        <v>49567.094099296366</v>
      </c>
      <c r="G6" s="501">
        <f>№4!G6</f>
        <v>260.16000000000003</v>
      </c>
      <c r="H6" s="150">
        <f>E6*G6</f>
        <v>520.32000000000005</v>
      </c>
      <c r="I6" s="151" t="str">
        <f>№4!I6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s="172" customFormat="1" x14ac:dyDescent="0.25">
      <c r="A7" s="1079" t="s">
        <v>8</v>
      </c>
      <c r="B7" s="1080"/>
      <c r="C7" s="1080"/>
      <c r="D7" s="1080"/>
      <c r="E7" s="1080"/>
      <c r="F7" s="1080"/>
      <c r="G7" s="1081"/>
      <c r="H7" s="253">
        <f>SUM(H6:H6)</f>
        <v>520.32000000000005</v>
      </c>
      <c r="I7" s="161"/>
    </row>
    <row r="8" spans="1:9" s="172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474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158</v>
      </c>
      <c r="F9" s="246">
        <v>6</v>
      </c>
      <c r="G9" s="246">
        <v>7</v>
      </c>
      <c r="H9" s="246" t="s">
        <v>12</v>
      </c>
      <c r="I9" s="246">
        <v>9</v>
      </c>
    </row>
    <row r="10" spans="1:9" s="172" customFormat="1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s="172" customFormat="1" ht="15" customHeight="1" outlineLevel="1" x14ac:dyDescent="0.25">
      <c r="A11" s="168">
        <v>1</v>
      </c>
      <c r="B11" s="147" t="s">
        <v>940</v>
      </c>
      <c r="C11" s="148">
        <f>'МЗ РЦВК'!$C$51*'МЗ РЦВК'!D5</f>
        <v>248</v>
      </c>
      <c r="D11" s="558">
        <f>№4!D11</f>
        <v>265212.859</v>
      </c>
      <c r="E11" s="169">
        <f t="shared" ref="E11:E17" si="0">(C11/D11)</f>
        <v>9.3509794711726252E-4</v>
      </c>
      <c r="F11" s="169">
        <v>1</v>
      </c>
      <c r="G11" s="148">
        <f>SUMIF('МЗ РЦВК'!$B$5:$B$45,$B11,'МЗ РЦВК'!$C$5:$C$45)</f>
        <v>700</v>
      </c>
      <c r="H11" s="150">
        <f>C11/D11*G11/F11</f>
        <v>0.65456856298208377</v>
      </c>
      <c r="I11" s="1095" t="s">
        <v>348</v>
      </c>
    </row>
    <row r="12" spans="1:9" s="172" customFormat="1" ht="30" outlineLevel="1" x14ac:dyDescent="0.25">
      <c r="A12" s="168">
        <v>2</v>
      </c>
      <c r="B12" s="147" t="s">
        <v>941</v>
      </c>
      <c r="C12" s="148">
        <f>'МЗ РЦВК'!$C$51*'МЗ РЦВК'!D6</f>
        <v>248</v>
      </c>
      <c r="D12" s="559">
        <f>$D$11</f>
        <v>265212.859</v>
      </c>
      <c r="E12" s="169">
        <f t="shared" si="0"/>
        <v>9.3509794711726252E-4</v>
      </c>
      <c r="F12" s="169">
        <v>1</v>
      </c>
      <c r="G12" s="148">
        <f>SUMIF('МЗ РЦВК'!$B$5:$B$45,$B12,'МЗ РЦВК'!$C$5:$C$45)</f>
        <v>1400</v>
      </c>
      <c r="H12" s="150">
        <f t="shared" ref="H12:H31" si="1">C12/D12*G12/F12</f>
        <v>1.3091371259641675</v>
      </c>
      <c r="I12" s="1095"/>
    </row>
    <row r="13" spans="1:9" s="172" customFormat="1" outlineLevel="1" x14ac:dyDescent="0.25">
      <c r="A13" s="168">
        <v>3</v>
      </c>
      <c r="B13" s="147" t="s">
        <v>942</v>
      </c>
      <c r="C13" s="148">
        <f>'МЗ РЦВК'!$C$51*'МЗ РЦВК'!D7</f>
        <v>124</v>
      </c>
      <c r="D13" s="559">
        <f t="shared" ref="D13:D18" si="2">$D$11</f>
        <v>265212.859</v>
      </c>
      <c r="E13" s="169">
        <f t="shared" si="0"/>
        <v>4.6754897355863126E-4</v>
      </c>
      <c r="F13" s="169">
        <v>2</v>
      </c>
      <c r="G13" s="148">
        <f>SUMIF('МЗ РЦВК'!$B$5:$B$45,$B13,'МЗ РЦВК'!$C$5:$C$45)</f>
        <v>260</v>
      </c>
      <c r="H13" s="150">
        <f t="shared" si="1"/>
        <v>6.0781366562622063E-2</v>
      </c>
      <c r="I13" s="1095"/>
    </row>
    <row r="14" spans="1:9" s="172" customFormat="1" ht="30" outlineLevel="1" x14ac:dyDescent="0.25">
      <c r="A14" s="168">
        <v>4</v>
      </c>
      <c r="B14" s="147" t="s">
        <v>955</v>
      </c>
      <c r="C14" s="148">
        <f>'МЗ РЦВК'!C48*'МЗ РЦВК'!D8</f>
        <v>80</v>
      </c>
      <c r="D14" s="559">
        <f t="shared" si="2"/>
        <v>265212.859</v>
      </c>
      <c r="E14" s="630">
        <f t="shared" ref="E14" si="3">(C14/D14)</f>
        <v>3.0164449907008468E-4</v>
      </c>
      <c r="F14" s="486">
        <v>2</v>
      </c>
      <c r="G14" s="148">
        <f>SUMIF('МЗ РЦВК'!$B$5:$B$45,$B14,'МЗ РЦВК'!$C$5:$C$45)</f>
        <v>980</v>
      </c>
      <c r="H14" s="150">
        <f t="shared" si="1"/>
        <v>0.1478058045443415</v>
      </c>
      <c r="I14" s="1095"/>
    </row>
    <row r="15" spans="1:9" s="172" customFormat="1" outlineLevel="1" x14ac:dyDescent="0.25">
      <c r="A15" s="168">
        <v>5</v>
      </c>
      <c r="B15" s="147" t="s">
        <v>943</v>
      </c>
      <c r="C15" s="148">
        <f>'МЗ РЦВК'!C50*'МЗ РЦВК'!D9</f>
        <v>54</v>
      </c>
      <c r="D15" s="559">
        <f t="shared" si="2"/>
        <v>265212.859</v>
      </c>
      <c r="E15" s="169">
        <f t="shared" si="0"/>
        <v>2.0361003687230717E-4</v>
      </c>
      <c r="F15" s="169">
        <v>1</v>
      </c>
      <c r="G15" s="148">
        <f>SUMIF('МЗ РЦВК'!$B$5:$B$45,$B15,'МЗ РЦВК'!$C$5:$C$45)</f>
        <v>61</v>
      </c>
      <c r="H15" s="150">
        <f t="shared" si="1"/>
        <v>1.2420212249210737E-2</v>
      </c>
      <c r="I15" s="1095"/>
    </row>
    <row r="16" spans="1:9" s="172" customFormat="1" outlineLevel="1" x14ac:dyDescent="0.25">
      <c r="A16" s="168">
        <v>6</v>
      </c>
      <c r="B16" s="147" t="s">
        <v>149</v>
      </c>
      <c r="C16" s="148">
        <f>'МЗ РЦВК'!$C$51*'МЗ РЦВК'!D10</f>
        <v>496</v>
      </c>
      <c r="D16" s="559">
        <f t="shared" si="2"/>
        <v>265212.859</v>
      </c>
      <c r="E16" s="630">
        <f t="shared" si="0"/>
        <v>1.870195894234525E-3</v>
      </c>
      <c r="F16" s="629">
        <v>1</v>
      </c>
      <c r="G16" s="148">
        <f>SUMIF('МЗ РЦВК'!$B$5:$B$45,$B16,'МЗ РЦВК'!$C$5:$C$45)</f>
        <v>55</v>
      </c>
      <c r="H16" s="150">
        <f t="shared" si="1"/>
        <v>0.10286077418289888</v>
      </c>
      <c r="I16" s="1095"/>
    </row>
    <row r="17" spans="1:10" s="172" customFormat="1" outlineLevel="1" x14ac:dyDescent="0.25">
      <c r="A17" s="168">
        <v>7</v>
      </c>
      <c r="B17" s="147" t="s">
        <v>150</v>
      </c>
      <c r="C17" s="148">
        <f>'МЗ РЦВК'!$C$51*'МЗ РЦВК'!D11</f>
        <v>992</v>
      </c>
      <c r="D17" s="559">
        <f t="shared" si="2"/>
        <v>265212.859</v>
      </c>
      <c r="E17" s="169">
        <f t="shared" si="0"/>
        <v>3.7403917884690501E-3</v>
      </c>
      <c r="F17" s="629">
        <v>1</v>
      </c>
      <c r="G17" s="148">
        <f>SUMIF('МЗ РЦВК'!$B$5:$B$45,$B17,'МЗ РЦВК'!$C$5:$C$45)</f>
        <v>25</v>
      </c>
      <c r="H17" s="150">
        <f t="shared" si="1"/>
        <v>9.3509794711726255E-2</v>
      </c>
      <c r="I17" s="1095"/>
    </row>
    <row r="18" spans="1:10" s="172" customFormat="1" outlineLevel="1" x14ac:dyDescent="0.25">
      <c r="A18" s="168">
        <v>8</v>
      </c>
      <c r="B18" s="249" t="s">
        <v>393</v>
      </c>
      <c r="C18" s="150">
        <f>D18</f>
        <v>265212.859</v>
      </c>
      <c r="D18" s="559">
        <f t="shared" si="2"/>
        <v>265212.859</v>
      </c>
      <c r="E18" s="169">
        <f>(C18/D18)</f>
        <v>1</v>
      </c>
      <c r="F18" s="629" t="s">
        <v>350</v>
      </c>
      <c r="G18" s="148">
        <f>SUMIF('МЗ РЦВК'!$B$5:$B$45,$B18,'МЗ РЦВК'!$C$5:$C$45)</f>
        <v>3.7</v>
      </c>
      <c r="H18" s="150">
        <f>C18/D18*G18</f>
        <v>3.7</v>
      </c>
      <c r="I18" s="1095"/>
      <c r="J18" s="631">
        <f>H18*D6</f>
        <v>1017.5</v>
      </c>
    </row>
    <row r="19" spans="1:10" s="172" customFormat="1" outlineLevel="1" x14ac:dyDescent="0.25">
      <c r="A19" s="168">
        <v>9</v>
      </c>
      <c r="B19" s="249" t="s">
        <v>370</v>
      </c>
      <c r="C19" s="150">
        <f t="shared" ref="C19:C22" si="4">$D$6*1</f>
        <v>275</v>
      </c>
      <c r="D19" s="150">
        <f t="shared" ref="D19:D31" si="5">$D$6</f>
        <v>275</v>
      </c>
      <c r="E19" s="169">
        <f t="shared" ref="E19:E31" si="6">(C19/D19)</f>
        <v>1</v>
      </c>
      <c r="F19" s="169">
        <v>1</v>
      </c>
      <c r="G19" s="148">
        <f>SUMIF('МЗ РЦВК'!$B$5:$B$45,$B19,'МЗ РЦВК'!$C$5:$C$45)</f>
        <v>147.74</v>
      </c>
      <c r="H19" s="150">
        <f t="shared" si="1"/>
        <v>147.74</v>
      </c>
      <c r="I19" s="1103"/>
      <c r="J19" s="631">
        <f>H19*D19</f>
        <v>40628.5</v>
      </c>
    </row>
    <row r="20" spans="1:10" s="172" customFormat="1" outlineLevel="1" x14ac:dyDescent="0.25">
      <c r="A20" s="168">
        <v>10</v>
      </c>
      <c r="B20" s="249" t="s">
        <v>371</v>
      </c>
      <c r="C20" s="150">
        <f t="shared" si="4"/>
        <v>275</v>
      </c>
      <c r="D20" s="150">
        <f t="shared" si="5"/>
        <v>275</v>
      </c>
      <c r="E20" s="169">
        <f t="shared" si="6"/>
        <v>1</v>
      </c>
      <c r="F20" s="169">
        <v>1</v>
      </c>
      <c r="G20" s="148">
        <f>SUMIF('МЗ РЦВК'!$B$5:$B$45,$B20,'МЗ РЦВК'!$C$5:$C$45)</f>
        <v>248.85</v>
      </c>
      <c r="H20" s="150">
        <f t="shared" si="1"/>
        <v>248.85</v>
      </c>
      <c r="I20" s="1103"/>
      <c r="J20" s="631">
        <f t="shared" ref="J20:J31" si="7">H20*D20</f>
        <v>68433.75</v>
      </c>
    </row>
    <row r="21" spans="1:10" s="172" customFormat="1" outlineLevel="1" x14ac:dyDescent="0.25">
      <c r="A21" s="168">
        <v>11</v>
      </c>
      <c r="B21" s="249" t="s">
        <v>372</v>
      </c>
      <c r="C21" s="150">
        <f t="shared" si="4"/>
        <v>275</v>
      </c>
      <c r="D21" s="150">
        <f t="shared" si="5"/>
        <v>275</v>
      </c>
      <c r="E21" s="169">
        <f t="shared" si="6"/>
        <v>1</v>
      </c>
      <c r="F21" s="169">
        <v>1</v>
      </c>
      <c r="G21" s="148">
        <f>SUMIF('МЗ РЦВК'!$B$5:$B$45,$B21,'МЗ РЦВК'!$C$5:$C$45)</f>
        <v>880.2</v>
      </c>
      <c r="H21" s="150">
        <f t="shared" si="1"/>
        <v>880.2</v>
      </c>
      <c r="I21" s="1103"/>
      <c r="J21" s="631">
        <f t="shared" si="7"/>
        <v>242055</v>
      </c>
    </row>
    <row r="22" spans="1:10" s="172" customFormat="1" outlineLevel="1" x14ac:dyDescent="0.25">
      <c r="A22" s="168">
        <v>12</v>
      </c>
      <c r="B22" s="249" t="s">
        <v>373</v>
      </c>
      <c r="C22" s="150">
        <f t="shared" si="4"/>
        <v>275</v>
      </c>
      <c r="D22" s="150">
        <f t="shared" si="5"/>
        <v>275</v>
      </c>
      <c r="E22" s="169">
        <f t="shared" si="6"/>
        <v>1</v>
      </c>
      <c r="F22" s="169">
        <v>1</v>
      </c>
      <c r="G22" s="148">
        <f>SUMIF('МЗ РЦВК'!$B$5:$B$45,$B22,'МЗ РЦВК'!$C$5:$C$45)</f>
        <v>115.77</v>
      </c>
      <c r="H22" s="150">
        <f t="shared" si="1"/>
        <v>115.77</v>
      </c>
      <c r="I22" s="1103"/>
      <c r="J22" s="631">
        <f t="shared" si="7"/>
        <v>31836.75</v>
      </c>
    </row>
    <row r="23" spans="1:10" s="172" customFormat="1" outlineLevel="1" x14ac:dyDescent="0.25">
      <c r="A23" s="168">
        <v>13</v>
      </c>
      <c r="B23" s="249" t="s">
        <v>357</v>
      </c>
      <c r="C23" s="150">
        <f>$D$6*6</f>
        <v>1650</v>
      </c>
      <c r="D23" s="150">
        <f t="shared" si="5"/>
        <v>275</v>
      </c>
      <c r="E23" s="169">
        <f t="shared" si="6"/>
        <v>6</v>
      </c>
      <c r="F23" s="169">
        <v>1</v>
      </c>
      <c r="G23" s="148">
        <f>SUMIF('МЗ РЦВК'!$B$5:$B$45,$B23,'МЗ РЦВК'!$C$5:$C$45)</f>
        <v>2.3199999999999998</v>
      </c>
      <c r="H23" s="150">
        <f t="shared" si="1"/>
        <v>13.919999999999998</v>
      </c>
      <c r="I23" s="1103"/>
      <c r="J23" s="631">
        <f t="shared" si="7"/>
        <v>3827.9999999999995</v>
      </c>
    </row>
    <row r="24" spans="1:10" s="172" customFormat="1" outlineLevel="1" x14ac:dyDescent="0.25">
      <c r="A24" s="168">
        <v>14</v>
      </c>
      <c r="B24" s="249" t="s">
        <v>374</v>
      </c>
      <c r="C24" s="150">
        <f t="shared" ref="C24:C25" si="8">$D$6*4</f>
        <v>1100</v>
      </c>
      <c r="D24" s="150">
        <f t="shared" si="5"/>
        <v>275</v>
      </c>
      <c r="E24" s="169">
        <f t="shared" si="6"/>
        <v>4</v>
      </c>
      <c r="F24" s="169">
        <v>1</v>
      </c>
      <c r="G24" s="148">
        <f>SUMIF('МЗ РЦВК'!$B$5:$B$45,$B24,'МЗ РЦВК'!$C$5:$C$45)</f>
        <v>48</v>
      </c>
      <c r="H24" s="150">
        <f t="shared" si="1"/>
        <v>192</v>
      </c>
      <c r="I24" s="1103"/>
      <c r="J24" s="631">
        <f t="shared" si="7"/>
        <v>52800</v>
      </c>
    </row>
    <row r="25" spans="1:10" s="172" customFormat="1" outlineLevel="1" x14ac:dyDescent="0.25">
      <c r="A25" s="168">
        <v>15</v>
      </c>
      <c r="B25" s="249" t="s">
        <v>375</v>
      </c>
      <c r="C25" s="150">
        <f t="shared" si="8"/>
        <v>1100</v>
      </c>
      <c r="D25" s="150">
        <f t="shared" si="5"/>
        <v>275</v>
      </c>
      <c r="E25" s="169">
        <f t="shared" si="6"/>
        <v>4</v>
      </c>
      <c r="F25" s="169">
        <v>1</v>
      </c>
      <c r="G25" s="148">
        <f>SUMIF('МЗ РЦВК'!$B$5:$B$45,$B25,'МЗ РЦВК'!$C$5:$C$45)</f>
        <v>3.5</v>
      </c>
      <c r="H25" s="150">
        <f t="shared" si="1"/>
        <v>14</v>
      </c>
      <c r="I25" s="1103"/>
      <c r="J25" s="631">
        <f t="shared" si="7"/>
        <v>3850</v>
      </c>
    </row>
    <row r="26" spans="1:10" s="172" customFormat="1" outlineLevel="1" x14ac:dyDescent="0.25">
      <c r="A26" s="168">
        <v>16</v>
      </c>
      <c r="B26" s="249" t="s">
        <v>362</v>
      </c>
      <c r="C26" s="150">
        <f>$D$6*10</f>
        <v>2750</v>
      </c>
      <c r="D26" s="150">
        <f t="shared" si="5"/>
        <v>275</v>
      </c>
      <c r="E26" s="169">
        <f t="shared" si="6"/>
        <v>10</v>
      </c>
      <c r="F26" s="169">
        <v>1</v>
      </c>
      <c r="G26" s="148">
        <f>SUMIF('МЗ РЦВК'!$B$5:$B$45,$B26,'МЗ РЦВК'!$C$5:$C$45)</f>
        <v>0.72</v>
      </c>
      <c r="H26" s="150">
        <f t="shared" si="1"/>
        <v>7.1999999999999993</v>
      </c>
      <c r="I26" s="1103"/>
      <c r="J26" s="631">
        <f t="shared" si="7"/>
        <v>1979.9999999999998</v>
      </c>
    </row>
    <row r="27" spans="1:10" s="172" customFormat="1" outlineLevel="1" x14ac:dyDescent="0.25">
      <c r="A27" s="168">
        <v>17</v>
      </c>
      <c r="B27" s="249" t="s">
        <v>351</v>
      </c>
      <c r="C27" s="150">
        <f>$D$6*1</f>
        <v>275</v>
      </c>
      <c r="D27" s="150">
        <f t="shared" si="5"/>
        <v>275</v>
      </c>
      <c r="E27" s="169">
        <f t="shared" si="6"/>
        <v>1</v>
      </c>
      <c r="F27" s="169">
        <v>1</v>
      </c>
      <c r="G27" s="148">
        <f>SUMIF('МЗ РЦВК'!$B$5:$B$45,$B27,'МЗ РЦВК'!$C$5:$C$45)</f>
        <v>2.0299999999999998</v>
      </c>
      <c r="H27" s="150">
        <f t="shared" si="1"/>
        <v>2.0299999999999998</v>
      </c>
      <c r="I27" s="1103"/>
      <c r="J27" s="631">
        <f t="shared" si="7"/>
        <v>558.25</v>
      </c>
    </row>
    <row r="28" spans="1:10" s="172" customFormat="1" outlineLevel="1" x14ac:dyDescent="0.25">
      <c r="A28" s="168">
        <v>18</v>
      </c>
      <c r="B28" s="249" t="s">
        <v>395</v>
      </c>
      <c r="C28" s="150">
        <f>$D$6*12</f>
        <v>3300</v>
      </c>
      <c r="D28" s="150">
        <f t="shared" si="5"/>
        <v>275</v>
      </c>
      <c r="E28" s="169">
        <f t="shared" si="6"/>
        <v>12</v>
      </c>
      <c r="F28" s="169">
        <v>1</v>
      </c>
      <c r="G28" s="148">
        <f>SUMIF('МЗ РЦВК'!$B$5:$B$45,$B28,'МЗ РЦВК'!$C$5:$C$45)</f>
        <v>5.93</v>
      </c>
      <c r="H28" s="150">
        <f t="shared" si="1"/>
        <v>71.16</v>
      </c>
      <c r="I28" s="1103"/>
      <c r="J28" s="631">
        <f t="shared" si="7"/>
        <v>19569</v>
      </c>
    </row>
    <row r="29" spans="1:10" s="172" customFormat="1" outlineLevel="1" x14ac:dyDescent="0.25">
      <c r="A29" s="168">
        <v>19</v>
      </c>
      <c r="B29" s="249" t="s">
        <v>363</v>
      </c>
      <c r="C29" s="150">
        <f>$D$6*80.2</f>
        <v>22055</v>
      </c>
      <c r="D29" s="150">
        <f t="shared" si="5"/>
        <v>275</v>
      </c>
      <c r="E29" s="169">
        <f t="shared" si="6"/>
        <v>80.2</v>
      </c>
      <c r="F29" s="169">
        <v>1</v>
      </c>
      <c r="G29" s="148">
        <f>SUMIF('МЗ РЦВК'!$B$5:$B$45,$B29,'МЗ РЦВК'!$C$5:$C$45)</f>
        <v>0.39</v>
      </c>
      <c r="H29" s="150">
        <f t="shared" si="1"/>
        <v>31.278000000000002</v>
      </c>
      <c r="I29" s="1103"/>
      <c r="J29" s="631">
        <f t="shared" si="7"/>
        <v>8601.4500000000007</v>
      </c>
    </row>
    <row r="30" spans="1:10" s="172" customFormat="1" outlineLevel="1" x14ac:dyDescent="0.25">
      <c r="A30" s="168">
        <v>20</v>
      </c>
      <c r="B30" s="249" t="s">
        <v>376</v>
      </c>
      <c r="C30" s="150">
        <f>$D$6*4</f>
        <v>1100</v>
      </c>
      <c r="D30" s="150">
        <f t="shared" si="5"/>
        <v>275</v>
      </c>
      <c r="E30" s="169">
        <f t="shared" si="6"/>
        <v>4</v>
      </c>
      <c r="F30" s="169">
        <v>1</v>
      </c>
      <c r="G30" s="148">
        <f>SUMIF('МЗ РЦВК'!$B$5:$B$45,$B30,'МЗ РЦВК'!$C$5:$C$45)</f>
        <v>1.05</v>
      </c>
      <c r="H30" s="150">
        <f t="shared" si="1"/>
        <v>4.2</v>
      </c>
      <c r="I30" s="1103"/>
      <c r="J30" s="631">
        <f t="shared" si="7"/>
        <v>1155</v>
      </c>
    </row>
    <row r="31" spans="1:10" s="172" customFormat="1" outlineLevel="1" x14ac:dyDescent="0.25">
      <c r="A31" s="168">
        <v>21</v>
      </c>
      <c r="B31" s="249" t="s">
        <v>364</v>
      </c>
      <c r="C31" s="150">
        <f>$D$6*4</f>
        <v>1100</v>
      </c>
      <c r="D31" s="150">
        <f t="shared" si="5"/>
        <v>275</v>
      </c>
      <c r="E31" s="169">
        <f t="shared" si="6"/>
        <v>4</v>
      </c>
      <c r="F31" s="169">
        <v>1</v>
      </c>
      <c r="G31" s="148">
        <f>SUMIF('МЗ РЦВК'!$B$5:$B$45,$B31,'МЗ РЦВК'!$C$5:$C$45)</f>
        <v>3.5</v>
      </c>
      <c r="H31" s="150">
        <f t="shared" si="1"/>
        <v>14</v>
      </c>
      <c r="I31" s="1103"/>
      <c r="J31" s="631">
        <f t="shared" si="7"/>
        <v>3850</v>
      </c>
    </row>
    <row r="32" spans="1:10" s="172" customFormat="1" x14ac:dyDescent="0.25">
      <c r="A32" s="1072" t="s">
        <v>365</v>
      </c>
      <c r="B32" s="1073"/>
      <c r="C32" s="1073"/>
      <c r="D32" s="1073"/>
      <c r="E32" s="1073"/>
      <c r="F32" s="1073"/>
      <c r="G32" s="1074"/>
      <c r="H32" s="248">
        <f>SUM(H11:H31)</f>
        <v>1748.4290836411972</v>
      </c>
      <c r="I32" s="1104"/>
      <c r="J32" s="631">
        <f>SUM(J18:J31)</f>
        <v>480163.2</v>
      </c>
    </row>
    <row r="33" spans="1:9" s="172" customFormat="1" ht="67.5" x14ac:dyDescent="0.25">
      <c r="A33" s="141" t="s">
        <v>0</v>
      </c>
      <c r="B33" s="141" t="s">
        <v>9</v>
      </c>
      <c r="C33" s="637" t="s">
        <v>1278</v>
      </c>
      <c r="D33" s="141" t="s">
        <v>123</v>
      </c>
      <c r="E33" s="141" t="s">
        <v>10</v>
      </c>
      <c r="F33" s="141" t="s">
        <v>15</v>
      </c>
      <c r="G33" s="141" t="s">
        <v>939</v>
      </c>
      <c r="H33" s="141" t="s">
        <v>347</v>
      </c>
      <c r="I33" s="141" t="s">
        <v>4</v>
      </c>
    </row>
    <row r="34" spans="1:9" s="474" customFormat="1" ht="11.25" x14ac:dyDescent="0.25">
      <c r="A34" s="246">
        <v>1</v>
      </c>
      <c r="B34" s="246">
        <v>2</v>
      </c>
      <c r="C34" s="246">
        <v>3</v>
      </c>
      <c r="D34" s="246">
        <v>4</v>
      </c>
      <c r="E34" s="246" t="s">
        <v>5</v>
      </c>
      <c r="F34" s="246">
        <v>6</v>
      </c>
      <c r="G34" s="246">
        <v>7</v>
      </c>
      <c r="H34" s="246" t="s">
        <v>12</v>
      </c>
      <c r="I34" s="246">
        <v>9</v>
      </c>
    </row>
    <row r="35" spans="1:9" s="172" customFormat="1" x14ac:dyDescent="0.25">
      <c r="A35" s="1126" t="s">
        <v>16</v>
      </c>
      <c r="B35" s="1126"/>
      <c r="C35" s="1126"/>
      <c r="D35" s="1126"/>
      <c r="E35" s="1126"/>
      <c r="F35" s="1126"/>
      <c r="G35" s="1126"/>
      <c r="H35" s="1126"/>
      <c r="I35" s="1126"/>
    </row>
    <row r="36" spans="1:9" s="172" customFormat="1" outlineLevel="1" x14ac:dyDescent="0.25">
      <c r="A36" s="168">
        <v>1</v>
      </c>
      <c r="B36" s="124" t="s">
        <v>317</v>
      </c>
      <c r="C36" s="150">
        <f>$D$6*E36</f>
        <v>275</v>
      </c>
      <c r="D36" s="150">
        <f>D6</f>
        <v>275</v>
      </c>
      <c r="E36" s="169">
        <v>1</v>
      </c>
      <c r="F36" s="169">
        <v>1</v>
      </c>
      <c r="G36" s="171">
        <f>№4!G27</f>
        <v>0.5</v>
      </c>
      <c r="H36" s="150">
        <f>C36/D36*G36</f>
        <v>0.5</v>
      </c>
      <c r="I36" s="1103" t="str">
        <f>№4!I27</f>
        <v>стоимость 1 пачки  250 руб, 500 листов</v>
      </c>
    </row>
    <row r="37" spans="1:9" s="172" customFormat="1" x14ac:dyDescent="0.25">
      <c r="A37" s="1072"/>
      <c r="B37" s="1073"/>
      <c r="C37" s="1073"/>
      <c r="D37" s="1073"/>
      <c r="E37" s="1073"/>
      <c r="F37" s="1073"/>
      <c r="G37" s="1074"/>
      <c r="H37" s="253">
        <f>SUM(H36)</f>
        <v>0.5</v>
      </c>
      <c r="I37" s="1104"/>
    </row>
    <row r="38" spans="1:9" x14ac:dyDescent="0.25">
      <c r="A38" s="1075" t="s">
        <v>18</v>
      </c>
      <c r="B38" s="1076"/>
      <c r="C38" s="1076"/>
      <c r="D38" s="1076"/>
      <c r="E38" s="1076"/>
      <c r="F38" s="1076"/>
      <c r="G38" s="1077"/>
      <c r="H38" s="164">
        <f>H37+H32+H7</f>
        <v>2269.2490836411971</v>
      </c>
      <c r="I38" s="155"/>
    </row>
  </sheetData>
  <mergeCells count="10">
    <mergeCell ref="I36:I37"/>
    <mergeCell ref="A37:G37"/>
    <mergeCell ref="A38:G38"/>
    <mergeCell ref="A1:I1"/>
    <mergeCell ref="A7:G7"/>
    <mergeCell ref="A10:I10"/>
    <mergeCell ref="A32:G32"/>
    <mergeCell ref="A35:I35"/>
    <mergeCell ref="I19:I32"/>
    <mergeCell ref="I11:I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8"/>
  <sheetViews>
    <sheetView workbookViewId="0">
      <selection activeCell="C6" sqref="C6"/>
    </sheetView>
  </sheetViews>
  <sheetFormatPr defaultRowHeight="15" x14ac:dyDescent="0.25"/>
  <cols>
    <col min="1" max="1" width="29.5703125" style="134" customWidth="1"/>
    <col min="2" max="4" width="10" style="134" customWidth="1"/>
    <col min="5" max="11" width="7.7109375" style="134" customWidth="1"/>
    <col min="12" max="12" width="16.42578125" style="134" customWidth="1"/>
    <col min="13" max="16384" width="9.140625" style="134"/>
  </cols>
  <sheetData>
    <row r="1" spans="1:14" x14ac:dyDescent="0.25">
      <c r="A1" s="1116" t="s">
        <v>520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</row>
    <row r="2" spans="1:14" s="401" customFormat="1" ht="7.5" customHeigh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399"/>
    </row>
    <row r="3" spans="1:14" ht="28.5" customHeight="1" x14ac:dyDescent="0.25">
      <c r="A3" s="1090" t="s">
        <v>160</v>
      </c>
      <c r="B3" s="1092" t="s">
        <v>161</v>
      </c>
      <c r="C3" s="1093"/>
      <c r="D3" s="1094"/>
      <c r="E3" s="1092" t="s">
        <v>162</v>
      </c>
      <c r="F3" s="1093"/>
      <c r="G3" s="1093"/>
      <c r="H3" s="1093"/>
      <c r="I3" s="1093"/>
      <c r="J3" s="1093"/>
      <c r="K3" s="1094"/>
      <c r="L3" s="1090" t="s">
        <v>163</v>
      </c>
    </row>
    <row r="4" spans="1:14" x14ac:dyDescent="0.25">
      <c r="A4" s="1091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91"/>
    </row>
    <row r="5" spans="1:14" s="11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4" ht="76.5" x14ac:dyDescent="0.25">
      <c r="A6" s="130" t="s">
        <v>377</v>
      </c>
      <c r="B6" s="205">
        <f>№5!H7</f>
        <v>520.32000000000005</v>
      </c>
      <c r="C6" s="205">
        <f>№5!H32</f>
        <v>1748.4290836411972</v>
      </c>
      <c r="D6" s="205">
        <f>№5!H37</f>
        <v>0.5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205">
        <f>SUM(B6:K6)</f>
        <v>2418.0447690381784</v>
      </c>
      <c r="M6" s="165"/>
      <c r="N6" s="166"/>
    </row>
    <row r="7" spans="1:14" hidden="1" x14ac:dyDescent="0.25">
      <c r="L7" s="165">
        <v>2485.1068853855718</v>
      </c>
    </row>
    <row r="8" spans="1:14" hidden="1" x14ac:dyDescent="0.25">
      <c r="L8" s="167">
        <f>L7-L6</f>
        <v>67.062116347393385</v>
      </c>
    </row>
    <row r="9" spans="1:14" hidden="1" x14ac:dyDescent="0.25"/>
    <row r="10" spans="1:14" hidden="1" x14ac:dyDescent="0.25"/>
    <row r="18" spans="6:6" x14ac:dyDescent="0.25">
      <c r="F18" s="135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K111"/>
  <sheetViews>
    <sheetView workbookViewId="0">
      <pane xSplit="2" ySplit="4" topLeftCell="C37" activePane="bottomRight" state="frozen"/>
      <selection activeCell="G124" sqref="G124"/>
      <selection pane="topRight" activeCell="G124" sqref="G124"/>
      <selection pane="bottomLeft" activeCell="G124" sqref="G124"/>
      <selection pane="bottomRight" activeCell="G124" sqref="G124"/>
    </sheetView>
  </sheetViews>
  <sheetFormatPr defaultColWidth="8.85546875" defaultRowHeight="12.75" outlineLevelRow="1" x14ac:dyDescent="0.2"/>
  <cols>
    <col min="1" max="1" width="7.42578125" style="18" customWidth="1"/>
    <col min="2" max="2" width="46.5703125" style="68" customWidth="1"/>
    <col min="3" max="3" width="15.5703125" style="68" customWidth="1"/>
    <col min="4" max="4" width="14.7109375" style="68" customWidth="1"/>
    <col min="5" max="5" width="15.7109375" style="9" bestFit="1" customWidth="1"/>
    <col min="6" max="6" width="15.140625" style="9" bestFit="1" customWidth="1"/>
    <col min="7" max="7" width="15.140625" style="9" customWidth="1"/>
    <col min="8" max="8" width="14.140625" style="9" customWidth="1"/>
    <col min="9" max="9" width="10.85546875" style="9" bestFit="1" customWidth="1"/>
    <col min="10" max="16384" width="8.85546875" style="9"/>
  </cols>
  <sheetData>
    <row r="1" spans="1:7" ht="15.75" x14ac:dyDescent="0.2">
      <c r="A1" s="993" t="s">
        <v>60</v>
      </c>
      <c r="B1" s="993"/>
      <c r="C1" s="993"/>
      <c r="D1" s="993"/>
    </row>
    <row r="2" spans="1:7" ht="6" customHeight="1" x14ac:dyDescent="0.2">
      <c r="B2" s="60"/>
      <c r="C2" s="60"/>
      <c r="D2" s="60"/>
    </row>
    <row r="3" spans="1:7" ht="38.25" x14ac:dyDescent="0.2">
      <c r="A3" s="416" t="s">
        <v>61</v>
      </c>
      <c r="B3" s="416" t="s">
        <v>62</v>
      </c>
      <c r="C3" s="416" t="s">
        <v>318</v>
      </c>
      <c r="D3" s="416" t="s">
        <v>319</v>
      </c>
    </row>
    <row r="4" spans="1:7" x14ac:dyDescent="0.2">
      <c r="A4" s="407">
        <v>1</v>
      </c>
      <c r="B4" s="407">
        <v>2</v>
      </c>
      <c r="C4" s="407">
        <v>3</v>
      </c>
      <c r="D4" s="417"/>
    </row>
    <row r="5" spans="1:7" ht="13.5" customHeight="1" x14ac:dyDescent="0.2">
      <c r="A5" s="418" t="s">
        <v>69</v>
      </c>
      <c r="B5" s="419"/>
      <c r="C5" s="419"/>
      <c r="D5" s="419"/>
    </row>
    <row r="6" spans="1:7" outlineLevel="1" x14ac:dyDescent="0.2">
      <c r="A6" s="407">
        <v>223</v>
      </c>
      <c r="B6" s="420" t="s">
        <v>127</v>
      </c>
      <c r="C6" s="406">
        <f>'учет расходов 2020'!G41</f>
        <v>7237006.3899999997</v>
      </c>
      <c r="D6" s="406"/>
    </row>
    <row r="7" spans="1:7" outlineLevel="1" x14ac:dyDescent="0.2">
      <c r="A7" s="407">
        <v>223</v>
      </c>
      <c r="B7" s="420" t="s">
        <v>71</v>
      </c>
      <c r="C7" s="406">
        <f>'учет расходов 2020'!G42</f>
        <v>1612838.4100000001</v>
      </c>
      <c r="D7" s="406"/>
    </row>
    <row r="8" spans="1:7" outlineLevel="1" x14ac:dyDescent="0.2">
      <c r="A8" s="407">
        <v>223</v>
      </c>
      <c r="B8" s="420" t="s">
        <v>679</v>
      </c>
      <c r="C8" s="406">
        <f>'учет расходов 2020'!G43</f>
        <v>86031.62000000001</v>
      </c>
      <c r="D8" s="406"/>
    </row>
    <row r="9" spans="1:7" outlineLevel="1" x14ac:dyDescent="0.2">
      <c r="A9" s="407">
        <v>223</v>
      </c>
      <c r="B9" s="420" t="s">
        <v>80</v>
      </c>
      <c r="C9" s="406">
        <f>'учет расходов 2020'!G44</f>
        <v>73389.399999999994</v>
      </c>
      <c r="D9" s="406"/>
    </row>
    <row r="10" spans="1:7" outlineLevel="1" x14ac:dyDescent="0.2">
      <c r="A10" s="407">
        <v>223</v>
      </c>
      <c r="B10" s="420" t="s">
        <v>128</v>
      </c>
      <c r="C10" s="406"/>
      <c r="D10" s="406">
        <f>SUM('учет расходов 2020'!G60:G64)</f>
        <v>306332.07</v>
      </c>
    </row>
    <row r="11" spans="1:7" ht="13.5" x14ac:dyDescent="0.2">
      <c r="A11" s="407"/>
      <c r="B11" s="408"/>
      <c r="C11" s="421">
        <f>SUM(C6:C10)</f>
        <v>9009265.8200000003</v>
      </c>
      <c r="D11" s="421">
        <f>SUM(D6:D10)</f>
        <v>306332.07</v>
      </c>
      <c r="E11" s="12">
        <f>C11+D11</f>
        <v>9315597.8900000006</v>
      </c>
      <c r="F11" s="12">
        <f>'учет расходов 2020'!G40</f>
        <v>9315597.8900000006</v>
      </c>
      <c r="G11" s="12">
        <f>F11-E11</f>
        <v>0</v>
      </c>
    </row>
    <row r="12" spans="1:7" ht="27" customHeight="1" x14ac:dyDescent="0.2">
      <c r="A12" s="995" t="s">
        <v>75</v>
      </c>
      <c r="B12" s="995"/>
      <c r="C12" s="995"/>
      <c r="D12" s="995"/>
    </row>
    <row r="13" spans="1:7" ht="38.25" outlineLevel="1" x14ac:dyDescent="0.2">
      <c r="A13" s="407">
        <v>225</v>
      </c>
      <c r="B13" s="408" t="s">
        <v>76</v>
      </c>
      <c r="C13" s="409">
        <f>'учет расходов 2020'!G70</f>
        <v>90000</v>
      </c>
      <c r="D13" s="406">
        <f t="shared" ref="D13:D19" si="0">C13*$D$4</f>
        <v>0</v>
      </c>
    </row>
    <row r="14" spans="1:7" ht="25.5" outlineLevel="1" x14ac:dyDescent="0.2">
      <c r="A14" s="407">
        <v>225</v>
      </c>
      <c r="B14" s="408" t="s">
        <v>684</v>
      </c>
      <c r="C14" s="409">
        <f>'учет расходов 2020'!G74+'учет расходов 2020'!G75</f>
        <v>43000</v>
      </c>
      <c r="D14" s="406">
        <f t="shared" si="0"/>
        <v>0</v>
      </c>
    </row>
    <row r="15" spans="1:7" outlineLevel="1" x14ac:dyDescent="0.2">
      <c r="A15" s="407">
        <v>225</v>
      </c>
      <c r="B15" s="408" t="s">
        <v>78</v>
      </c>
      <c r="C15" s="409">
        <f>'учет расходов 2020'!G81</f>
        <v>200000</v>
      </c>
      <c r="D15" s="406">
        <f>C15*$D$4</f>
        <v>0</v>
      </c>
    </row>
    <row r="16" spans="1:7" outlineLevel="1" x14ac:dyDescent="0.2">
      <c r="A16" s="407">
        <v>225</v>
      </c>
      <c r="B16" s="408" t="s">
        <v>79</v>
      </c>
      <c r="C16" s="409">
        <f>'учет расходов 2020'!G82</f>
        <v>60200</v>
      </c>
      <c r="D16" s="406">
        <f t="shared" si="0"/>
        <v>0</v>
      </c>
      <c r="E16" s="9" t="s">
        <v>1373</v>
      </c>
      <c r="F16" s="9" t="s">
        <v>402</v>
      </c>
      <c r="G16" s="9" t="s">
        <v>728</v>
      </c>
    </row>
    <row r="17" spans="1:7" outlineLevel="1" x14ac:dyDescent="0.2">
      <c r="A17" s="407" t="s">
        <v>129</v>
      </c>
      <c r="B17" s="408" t="s">
        <v>131</v>
      </c>
      <c r="C17" s="409">
        <f>ROUND(((E17+F17)*12+G17),2)</f>
        <v>4525802.9000000004</v>
      </c>
      <c r="D17" s="406">
        <f t="shared" si="0"/>
        <v>0</v>
      </c>
      <c r="E17" s="69">
        <f>'ШР 01.08.19'!W28+'ШР 01.08.19'!W29+'ШР 01.08.19'!W30+'ШР 01.08.19'!W31+'ШР 01.08.19'!W32+'ШР 01.08.19'!W94+'ШР 01.08.19'!W120+'ШР 01.08.19'!W125+'ШР 01.08.19'!W131+'ШР 01.08.19'!W134+'ШР 01.08.19'!W135+'ШР 01.08.19'!W141+'ШР 01.08.19'!W149+'ШР 01.08.19'!W154+'ШР 01.08.19'!W163+'ШР 01.08.19'!W168+'ШР 01.08.19'!W174</f>
        <v>262716.10599999997</v>
      </c>
      <c r="F17" s="69">
        <f>'ШР 01.08.19'!AB28+'ШР 01.08.19'!AB29+'ШР 01.08.19'!AB30+'ШР 01.08.19'!AB31+'ШР 01.08.19'!AB32+'ШР 01.08.19'!AB94+'ШР 01.08.19'!AB120+'ШР 01.08.19'!AB125+'ШР 01.08.19'!AB131+'ШР 01.08.19'!AB134+'ШР 01.08.19'!AB135+'ШР 01.08.19'!AB141+'ШР 01.08.19'!AB149+'ШР 01.08.19'!AB154+'ШР 01.08.19'!AB163+'ШР 01.08.19'!AB168+'ШР 01.08.19'!AB174</f>
        <v>108792.80200000004</v>
      </c>
      <c r="G17" s="12">
        <f>4231*16</f>
        <v>67696</v>
      </c>
    </row>
    <row r="18" spans="1:7" outlineLevel="1" x14ac:dyDescent="0.2">
      <c r="A18" s="407">
        <v>226</v>
      </c>
      <c r="B18" s="408" t="s">
        <v>81</v>
      </c>
      <c r="C18" s="409">
        <f>'учет расходов 2020'!G94</f>
        <v>718033.16159999999</v>
      </c>
      <c r="D18" s="406">
        <f t="shared" si="0"/>
        <v>0</v>
      </c>
    </row>
    <row r="19" spans="1:7" outlineLevel="1" x14ac:dyDescent="0.2">
      <c r="A19" s="407">
        <v>346</v>
      </c>
      <c r="B19" s="408" t="s">
        <v>137</v>
      </c>
      <c r="C19" s="409">
        <f>'учет расходов 2020'!G173</f>
        <v>3500</v>
      </c>
      <c r="D19" s="406">
        <f t="shared" si="0"/>
        <v>0</v>
      </c>
    </row>
    <row r="20" spans="1:7" ht="13.5" x14ac:dyDescent="0.2">
      <c r="A20" s="422"/>
      <c r="B20" s="423"/>
      <c r="C20" s="424">
        <f>SUM(C13:C19)</f>
        <v>5640536.0616000006</v>
      </c>
      <c r="D20" s="424">
        <f>SUM(D13:D19)</f>
        <v>0</v>
      </c>
    </row>
    <row r="21" spans="1:7" ht="27" customHeight="1" x14ac:dyDescent="0.2">
      <c r="A21" s="995" t="s">
        <v>82</v>
      </c>
      <c r="B21" s="995"/>
      <c r="C21" s="995"/>
      <c r="D21" s="995"/>
    </row>
    <row r="22" spans="1:7" outlineLevel="1" x14ac:dyDescent="0.2">
      <c r="A22" s="407">
        <v>226</v>
      </c>
      <c r="B22" s="411" t="s">
        <v>685</v>
      </c>
      <c r="C22" s="409">
        <f>SUM('учет расходов 2020'!G118:G121)</f>
        <v>721436</v>
      </c>
      <c r="D22" s="406">
        <f t="shared" ref="D22:D29" si="1">C22*$D$4</f>
        <v>0</v>
      </c>
    </row>
    <row r="23" spans="1:7" outlineLevel="1" x14ac:dyDescent="0.2">
      <c r="A23" s="407">
        <v>225</v>
      </c>
      <c r="B23" s="411" t="s">
        <v>134</v>
      </c>
      <c r="C23" s="409">
        <f>'учет расходов 2020'!G79</f>
        <v>130000</v>
      </c>
      <c r="D23" s="406">
        <f t="shared" si="1"/>
        <v>0</v>
      </c>
    </row>
    <row r="24" spans="1:7" outlineLevel="1" x14ac:dyDescent="0.2">
      <c r="A24" s="407">
        <v>225</v>
      </c>
      <c r="B24" s="411" t="s">
        <v>135</v>
      </c>
      <c r="C24" s="409">
        <f>'учет расходов 2020'!G80</f>
        <v>60000</v>
      </c>
      <c r="D24" s="406">
        <f t="shared" si="1"/>
        <v>0</v>
      </c>
    </row>
    <row r="25" spans="1:7" outlineLevel="1" x14ac:dyDescent="0.2">
      <c r="A25" s="407">
        <v>343</v>
      </c>
      <c r="B25" s="408" t="s">
        <v>83</v>
      </c>
      <c r="C25" s="409">
        <f>'учет расходов 2020'!G154</f>
        <v>2100000</v>
      </c>
      <c r="D25" s="406">
        <f t="shared" si="1"/>
        <v>0</v>
      </c>
    </row>
    <row r="26" spans="1:7" outlineLevel="1" x14ac:dyDescent="0.2">
      <c r="A26" s="407">
        <v>227</v>
      </c>
      <c r="B26" s="411" t="s">
        <v>688</v>
      </c>
      <c r="C26" s="409">
        <f>'учет расходов 2020'!G141+'учет расходов 2020'!G142</f>
        <v>464539.01520000002</v>
      </c>
      <c r="D26" s="406">
        <f t="shared" si="1"/>
        <v>0</v>
      </c>
    </row>
    <row r="27" spans="1:7" outlineLevel="1" x14ac:dyDescent="0.2">
      <c r="A27" s="407">
        <v>226</v>
      </c>
      <c r="B27" s="411" t="s">
        <v>136</v>
      </c>
      <c r="C27" s="409">
        <f>'учет расходов 2020'!G125</f>
        <v>13500</v>
      </c>
      <c r="D27" s="406">
        <f t="shared" si="1"/>
        <v>0</v>
      </c>
    </row>
    <row r="28" spans="1:7" outlineLevel="1" x14ac:dyDescent="0.2">
      <c r="A28" s="407">
        <v>346</v>
      </c>
      <c r="B28" s="408" t="s">
        <v>86</v>
      </c>
      <c r="C28" s="409">
        <f>'учет расходов 2020'!F165</f>
        <v>396000</v>
      </c>
      <c r="D28" s="406">
        <f t="shared" si="1"/>
        <v>0</v>
      </c>
    </row>
    <row r="29" spans="1:7" ht="25.5" outlineLevel="1" x14ac:dyDescent="0.2">
      <c r="A29" s="407">
        <v>225</v>
      </c>
      <c r="B29" s="408" t="s">
        <v>87</v>
      </c>
      <c r="C29" s="409">
        <v>0</v>
      </c>
      <c r="D29" s="406">
        <f t="shared" si="1"/>
        <v>0</v>
      </c>
    </row>
    <row r="30" spans="1:7" ht="15" x14ac:dyDescent="0.2">
      <c r="A30" s="407"/>
      <c r="B30" s="425"/>
      <c r="C30" s="421">
        <f>SUM(C22:C29)</f>
        <v>3885475.0152000003</v>
      </c>
      <c r="D30" s="421">
        <f>SUM(D22:D29)</f>
        <v>0</v>
      </c>
    </row>
    <row r="31" spans="1:7" ht="13.5" x14ac:dyDescent="0.25">
      <c r="A31" s="994" t="s">
        <v>88</v>
      </c>
      <c r="B31" s="994"/>
      <c r="C31" s="994"/>
      <c r="D31" s="994"/>
    </row>
    <row r="32" spans="1:7" outlineLevel="1" x14ac:dyDescent="0.2">
      <c r="A32" s="407">
        <v>221</v>
      </c>
      <c r="B32" s="408" t="s">
        <v>89</v>
      </c>
      <c r="C32" s="426">
        <f>SUM('учет расходов 2020'!G30:G31)</f>
        <v>319245.99</v>
      </c>
      <c r="D32" s="406">
        <f>C32*$D$4</f>
        <v>0</v>
      </c>
    </row>
    <row r="33" spans="1:11" outlineLevel="1" x14ac:dyDescent="0.2">
      <c r="A33" s="407">
        <v>221</v>
      </c>
      <c r="B33" s="408" t="s">
        <v>90</v>
      </c>
      <c r="C33" s="426">
        <f>'учет расходов 2020'!G32</f>
        <v>243500</v>
      </c>
      <c r="D33" s="406">
        <f>C33*$D$4</f>
        <v>0</v>
      </c>
    </row>
    <row r="34" spans="1:11" outlineLevel="1" x14ac:dyDescent="0.2">
      <c r="A34" s="407">
        <v>221</v>
      </c>
      <c r="B34" s="408" t="s">
        <v>91</v>
      </c>
      <c r="C34" s="426">
        <f>SUM('учет расходов 2020'!G24:G29)</f>
        <v>570409.91999999993</v>
      </c>
      <c r="D34" s="406">
        <f>C34*$D$4</f>
        <v>0</v>
      </c>
    </row>
    <row r="35" spans="1:11" outlineLevel="1" x14ac:dyDescent="0.2">
      <c r="A35" s="407">
        <v>221</v>
      </c>
      <c r="B35" s="408" t="s">
        <v>680</v>
      </c>
      <c r="C35" s="426">
        <f>'учет расходов 2020'!G34</f>
        <v>4038.53</v>
      </c>
      <c r="D35" s="406">
        <f>C35*$D$4</f>
        <v>0</v>
      </c>
    </row>
    <row r="36" spans="1:11" outlineLevel="1" x14ac:dyDescent="0.2">
      <c r="A36" s="407">
        <v>221</v>
      </c>
      <c r="B36" s="408" t="s">
        <v>138</v>
      </c>
      <c r="C36" s="426">
        <f>'учет расходов 2020'!G35+'учет расходов 2020'!G33</f>
        <v>276262.53000000003</v>
      </c>
      <c r="D36" s="406">
        <f>C36*$D$4</f>
        <v>0</v>
      </c>
    </row>
    <row r="37" spans="1:11" ht="13.5" x14ac:dyDescent="0.2">
      <c r="A37" s="407"/>
      <c r="B37" s="408"/>
      <c r="C37" s="421">
        <f>SUM(C32:C36)</f>
        <v>1413456.97</v>
      </c>
      <c r="D37" s="421">
        <f>SUM(D32:D36)</f>
        <v>0</v>
      </c>
      <c r="E37" s="12">
        <f>D37+C37</f>
        <v>1413456.97</v>
      </c>
      <c r="F37" s="12">
        <f>'учет расходов 2020'!G23</f>
        <v>1413456.97</v>
      </c>
      <c r="G37" s="12">
        <f>F37-E37</f>
        <v>0</v>
      </c>
    </row>
    <row r="38" spans="1:11" ht="13.5" x14ac:dyDescent="0.25">
      <c r="A38" s="994" t="s">
        <v>92</v>
      </c>
      <c r="B38" s="994"/>
      <c r="C38" s="994"/>
      <c r="D38" s="994"/>
    </row>
    <row r="39" spans="1:11" ht="25.5" outlineLevel="1" x14ac:dyDescent="0.2">
      <c r="A39" s="407">
        <v>222</v>
      </c>
      <c r="B39" s="408" t="s">
        <v>681</v>
      </c>
      <c r="C39" s="426">
        <f>'учет расходов 2020'!G37</f>
        <v>5450.88</v>
      </c>
      <c r="D39" s="406">
        <f>'учет расходов 2020'!G38+'учет расходов 2020'!G39</f>
        <v>120000</v>
      </c>
    </row>
    <row r="40" spans="1:11" ht="25.5" outlineLevel="1" x14ac:dyDescent="0.2">
      <c r="A40" s="407">
        <v>222</v>
      </c>
      <c r="B40" s="408" t="s">
        <v>94</v>
      </c>
      <c r="C40" s="408"/>
      <c r="D40" s="406">
        <f>C40*$D$4</f>
        <v>0</v>
      </c>
      <c r="H40" s="12"/>
    </row>
    <row r="41" spans="1:11" ht="13.5" x14ac:dyDescent="0.2">
      <c r="A41" s="407"/>
      <c r="B41" s="408"/>
      <c r="C41" s="421">
        <f>SUM(C39:C40)</f>
        <v>5450.88</v>
      </c>
      <c r="D41" s="421">
        <f>SUM(D39:D40)</f>
        <v>120000</v>
      </c>
      <c r="E41" s="12">
        <f>C41+D41</f>
        <v>125450.88</v>
      </c>
      <c r="F41" s="12">
        <f>'учет расходов 2020'!G36</f>
        <v>125450.88</v>
      </c>
      <c r="G41" s="12">
        <f>F41-E41</f>
        <v>0</v>
      </c>
    </row>
    <row r="42" spans="1:11" ht="27" customHeight="1" x14ac:dyDescent="0.2">
      <c r="A42" s="995" t="s">
        <v>95</v>
      </c>
      <c r="B42" s="995"/>
      <c r="C42" s="995"/>
      <c r="D42" s="995"/>
      <c r="E42" s="12">
        <f>SUM(E43:E47)</f>
        <v>59941563.139524788</v>
      </c>
      <c r="F42" s="12">
        <v>59941563.139524795</v>
      </c>
      <c r="G42" s="12">
        <f>E42-F42</f>
        <v>0</v>
      </c>
      <c r="H42" s="9" t="s">
        <v>728</v>
      </c>
      <c r="I42" s="12"/>
      <c r="J42" s="12"/>
    </row>
    <row r="43" spans="1:11" outlineLevel="1" x14ac:dyDescent="0.2">
      <c r="A43" s="407" t="s">
        <v>129</v>
      </c>
      <c r="B43" s="427" t="s">
        <v>139</v>
      </c>
      <c r="C43" s="405">
        <f>E43</f>
        <v>2589693.9811006803</v>
      </c>
      <c r="D43" s="406">
        <f>C43*$D$4</f>
        <v>0</v>
      </c>
      <c r="E43" s="69">
        <v>2589693.9811006803</v>
      </c>
      <c r="F43" s="12">
        <f>'ШР 01.08.19'!W226+'ШР 01.08.19'!W227</f>
        <v>201251.34999999998</v>
      </c>
      <c r="G43" s="9">
        <v>12</v>
      </c>
      <c r="H43" s="12">
        <f>'ШР 01.08.19'!H226+'ШР 01.08.19'!H227</f>
        <v>87121.79</v>
      </c>
    </row>
    <row r="44" spans="1:11" ht="24" outlineLevel="1" x14ac:dyDescent="0.2">
      <c r="A44" s="407" t="s">
        <v>129</v>
      </c>
      <c r="B44" s="427" t="s">
        <v>140</v>
      </c>
      <c r="C44" s="405">
        <f>E44</f>
        <v>6987623.9517378015</v>
      </c>
      <c r="D44" s="406">
        <f>C44*$D$4</f>
        <v>0</v>
      </c>
      <c r="E44" s="69">
        <v>6987623.9517378015</v>
      </c>
      <c r="F44" s="12">
        <f>'ШР 01.08.19'!Y77</f>
        <v>551971.24</v>
      </c>
      <c r="G44" s="9">
        <v>12</v>
      </c>
      <c r="H44" s="12">
        <f>SUM('ШР 01.08.19'!H63:H77)</f>
        <v>157013.22</v>
      </c>
    </row>
    <row r="45" spans="1:11" outlineLevel="1" x14ac:dyDescent="0.2">
      <c r="A45" s="407" t="s">
        <v>129</v>
      </c>
      <c r="B45" s="427" t="s">
        <v>682</v>
      </c>
      <c r="C45" s="405"/>
      <c r="D45" s="406">
        <f>C45*$D$4</f>
        <v>0</v>
      </c>
      <c r="E45" s="69">
        <v>0</v>
      </c>
      <c r="F45" s="12">
        <f>'ШР 01.08.19'!Y44</f>
        <v>334669.93000000005</v>
      </c>
      <c r="G45" s="9">
        <v>12</v>
      </c>
      <c r="H45" s="12">
        <f>SUM('ШР 01.08.19'!H36:H44)</f>
        <v>96540.079999999987</v>
      </c>
    </row>
    <row r="46" spans="1:11" outlineLevel="1" x14ac:dyDescent="0.2">
      <c r="A46" s="407" t="s">
        <v>129</v>
      </c>
      <c r="B46" s="427" t="s">
        <v>157</v>
      </c>
      <c r="C46" s="405">
        <f>E46-I46</f>
        <v>19861592.016804446</v>
      </c>
      <c r="D46" s="406">
        <f>C46*$D$4</f>
        <v>0</v>
      </c>
      <c r="E46" s="69">
        <v>42060137.106804453</v>
      </c>
      <c r="F46" s="12">
        <f>'ШР 01.08.19'!Y202+'ШР 01.08.19'!Z203</f>
        <v>3438444.3600000008</v>
      </c>
      <c r="G46" s="9">
        <v>12</v>
      </c>
      <c r="H46" s="12">
        <f>SUM('ШР 01.08.19'!H78:H201)</f>
        <v>845105.35200000007</v>
      </c>
      <c r="I46" s="884">
        <f>'ФВ РЦВК'!S26</f>
        <v>22198545.090000007</v>
      </c>
      <c r="J46" s="516">
        <f>I46*J47/I47</f>
        <v>0.52778109195485112</v>
      </c>
      <c r="K46" s="9" t="s">
        <v>683</v>
      </c>
    </row>
    <row r="47" spans="1:11" ht="24" outlineLevel="1" x14ac:dyDescent="0.2">
      <c r="A47" s="407" t="s">
        <v>129</v>
      </c>
      <c r="B47" s="427" t="s">
        <v>1374</v>
      </c>
      <c r="C47" s="405">
        <f>E47</f>
        <v>8304108.0998818548</v>
      </c>
      <c r="D47" s="406">
        <f>C47*$D$4</f>
        <v>0</v>
      </c>
      <c r="E47" s="69">
        <v>8304108.0998818548</v>
      </c>
      <c r="F47" s="12">
        <f>'ШР 01.08.19'!Y32+'ШР 01.08.19'!Y33+'ШР 01.08.19'!Y45+'ШР 01.08.19'!AC45</f>
        <v>694836.902</v>
      </c>
      <c r="G47" s="9">
        <v>12</v>
      </c>
      <c r="H47" s="12">
        <f>SUM('ШР 01.08.19'!H45:H62)+'ШР 01.08.19'!Y31</f>
        <v>164289.18799999997</v>
      </c>
      <c r="I47" s="12">
        <f>I46+C46</f>
        <v>42060137.106804453</v>
      </c>
      <c r="J47" s="515">
        <v>1</v>
      </c>
    </row>
    <row r="48" spans="1:11" ht="13.5" x14ac:dyDescent="0.2">
      <c r="A48" s="407"/>
      <c r="B48" s="428"/>
      <c r="C48" s="429">
        <f>SUM(C43:C47)</f>
        <v>37743018.049524784</v>
      </c>
      <c r="D48" s="429">
        <f>SUM(D43:D47)</f>
        <v>0</v>
      </c>
      <c r="E48" s="12">
        <f>C48+C17</f>
        <v>42268820.949524783</v>
      </c>
      <c r="F48" s="12">
        <f>SUM(F43:F47)</f>
        <v>5221173.7820000006</v>
      </c>
      <c r="G48" s="12">
        <f>'ШР 01.08.19'!W225+'ШР 01.08.19'!AB202</f>
        <v>5221173.7820000025</v>
      </c>
      <c r="H48" s="12">
        <f>SUM(H43:H47)</f>
        <v>1350069.63</v>
      </c>
      <c r="I48" s="12">
        <f>'ШР 01.08.19'!H202</f>
        <v>1393667.0300000007</v>
      </c>
      <c r="J48" s="12">
        <f>I48-H48</f>
        <v>43597.400000000838</v>
      </c>
    </row>
    <row r="49" spans="1:10" ht="13.5" x14ac:dyDescent="0.25">
      <c r="A49" s="994" t="s">
        <v>96</v>
      </c>
      <c r="B49" s="994"/>
      <c r="C49" s="994"/>
      <c r="D49" s="994"/>
      <c r="E49" s="12">
        <f>'ШР 01.08.19'!W225*12+'ШР 01.08.19'!AB202*12+'ШР 01.08.19'!H225</f>
        <v>64004155.014000028</v>
      </c>
      <c r="F49" s="884">
        <f>E49-E48</f>
        <v>21735334.064475246</v>
      </c>
      <c r="H49" s="12">
        <f>G48-F48</f>
        <v>0</v>
      </c>
      <c r="I49" s="12"/>
      <c r="J49" s="12">
        <f>'ШР 01.08.19'!H232</f>
        <v>43597.399999999994</v>
      </c>
    </row>
    <row r="50" spans="1:10" outlineLevel="1" x14ac:dyDescent="0.2">
      <c r="A50" s="410">
        <v>224</v>
      </c>
      <c r="B50" s="411" t="s">
        <v>142</v>
      </c>
      <c r="C50" s="412"/>
      <c r="D50" s="413">
        <f>'учет расходов 2020'!K65</f>
        <v>1065573.1000000001</v>
      </c>
      <c r="E50" s="12">
        <f>C50+D50</f>
        <v>1065573.1000000001</v>
      </c>
      <c r="F50" s="12">
        <f>F49-I46</f>
        <v>-463211.02552476153</v>
      </c>
      <c r="H50" s="12">
        <f>'ШР 01.08.19'!AB202</f>
        <v>156114.91200000007</v>
      </c>
    </row>
    <row r="51" spans="1:10" outlineLevel="1" x14ac:dyDescent="0.2">
      <c r="A51" s="410">
        <v>225</v>
      </c>
      <c r="B51" s="411" t="s">
        <v>97</v>
      </c>
      <c r="C51" s="409">
        <f>'учет расходов 2020'!G76</f>
        <v>120000</v>
      </c>
      <c r="D51" s="414"/>
      <c r="I51" s="12"/>
    </row>
    <row r="52" spans="1:10" outlineLevel="1" x14ac:dyDescent="0.2">
      <c r="A52" s="410">
        <v>226</v>
      </c>
      <c r="B52" s="411" t="s">
        <v>690</v>
      </c>
      <c r="C52" s="409">
        <f>'учет расходов 2020'!G111</f>
        <v>16000</v>
      </c>
      <c r="D52" s="414"/>
    </row>
    <row r="53" spans="1:10" outlineLevel="1" x14ac:dyDescent="0.2">
      <c r="A53" s="410">
        <v>226</v>
      </c>
      <c r="B53" s="411" t="s">
        <v>1367</v>
      </c>
      <c r="C53" s="409">
        <f>'учет расходов 2020'!G109+'учет расходов 2020'!G110+'учет расходов 2020'!G112+'учет расходов 2020'!G113+'учет расходов 2020'!G115+'учет расходов 2020'!G116+'учет расходов 2020'!G122</f>
        <v>416924.4</v>
      </c>
      <c r="D53" s="414"/>
    </row>
    <row r="54" spans="1:10" outlineLevel="1" x14ac:dyDescent="0.2">
      <c r="A54" s="407" t="s">
        <v>321</v>
      </c>
      <c r="B54" s="411" t="s">
        <v>320</v>
      </c>
      <c r="C54" s="412"/>
      <c r="D54" s="413">
        <f>'учет расходов 2020'!G137+'учет расходов 2020'!G136+'учет расходов 2020'!G77+'учет расходов 2020'!G78</f>
        <v>260000</v>
      </c>
    </row>
    <row r="55" spans="1:10" outlineLevel="1" x14ac:dyDescent="0.2">
      <c r="A55" s="410">
        <v>226</v>
      </c>
      <c r="B55" s="420" t="s">
        <v>298</v>
      </c>
      <c r="C55" s="412"/>
      <c r="D55" s="413">
        <f>'учет расходов 2020'!G114</f>
        <v>4200</v>
      </c>
    </row>
    <row r="56" spans="1:10" outlineLevel="1" x14ac:dyDescent="0.2">
      <c r="A56" s="410">
        <v>227</v>
      </c>
      <c r="B56" s="411" t="s">
        <v>686</v>
      </c>
      <c r="C56" s="409">
        <f>'учет расходов 2020'!G140</f>
        <v>52000</v>
      </c>
      <c r="D56" s="413"/>
    </row>
    <row r="57" spans="1:10" outlineLevel="1" x14ac:dyDescent="0.2">
      <c r="A57" s="410">
        <v>227</v>
      </c>
      <c r="B57" s="411" t="s">
        <v>687</v>
      </c>
      <c r="C57" s="430"/>
      <c r="D57" s="413">
        <f>'учет расходов 2020'!K139</f>
        <v>28365</v>
      </c>
      <c r="E57" s="12">
        <f>D57+C56+C26</f>
        <v>544904.01520000002</v>
      </c>
      <c r="F57" s="12">
        <f>'учет расходов 2020'!G138</f>
        <v>544904.01520000002</v>
      </c>
      <c r="G57" s="12">
        <f>F57-E57</f>
        <v>0</v>
      </c>
    </row>
    <row r="58" spans="1:10" outlineLevel="1" x14ac:dyDescent="0.2">
      <c r="A58" s="410">
        <v>226</v>
      </c>
      <c r="B58" s="411" t="s">
        <v>98</v>
      </c>
      <c r="C58" s="409"/>
      <c r="D58" s="413">
        <f>'учет расходов 2020'!G124</f>
        <v>500000</v>
      </c>
    </row>
    <row r="59" spans="1:10" outlineLevel="1" x14ac:dyDescent="0.2">
      <c r="A59" s="410">
        <v>226</v>
      </c>
      <c r="B59" s="411" t="s">
        <v>697</v>
      </c>
      <c r="C59" s="409">
        <f>'учет расходов 2020'!G123</f>
        <v>577200</v>
      </c>
      <c r="D59" s="414"/>
    </row>
    <row r="60" spans="1:10" outlineLevel="1" x14ac:dyDescent="0.2">
      <c r="A60" s="410">
        <v>226</v>
      </c>
      <c r="B60" s="411" t="s">
        <v>1366</v>
      </c>
      <c r="C60" s="409">
        <f>'учет расходов 2020'!G117+'учет расходов 2020'!G130+'учет расходов 2020'!G131</f>
        <v>175700</v>
      </c>
      <c r="D60" s="414"/>
    </row>
    <row r="61" spans="1:10" outlineLevel="1" x14ac:dyDescent="0.2">
      <c r="A61" s="410">
        <v>226</v>
      </c>
      <c r="B61" s="411" t="s">
        <v>204</v>
      </c>
      <c r="C61" s="430"/>
      <c r="D61" s="413">
        <f>'учет расходов 2020'!G133</f>
        <v>58700</v>
      </c>
    </row>
    <row r="62" spans="1:10" outlineLevel="1" x14ac:dyDescent="0.2">
      <c r="A62" s="410">
        <v>226</v>
      </c>
      <c r="B62" s="411" t="s">
        <v>205</v>
      </c>
      <c r="C62" s="409">
        <f>'учет расходов 2020'!G135</f>
        <v>15000</v>
      </c>
      <c r="D62" s="413"/>
    </row>
    <row r="63" spans="1:10" outlineLevel="1" x14ac:dyDescent="0.2">
      <c r="A63" s="410">
        <v>226</v>
      </c>
      <c r="B63" s="411" t="s">
        <v>153</v>
      </c>
      <c r="C63" s="412"/>
      <c r="D63" s="413">
        <f>'учет расходов 2020'!G126+'учет расходов 2020'!G127</f>
        <v>290000</v>
      </c>
    </row>
    <row r="64" spans="1:10" outlineLevel="1" x14ac:dyDescent="0.2">
      <c r="A64" s="410">
        <v>226</v>
      </c>
      <c r="B64" s="411" t="s">
        <v>292</v>
      </c>
      <c r="C64" s="412"/>
      <c r="D64" s="413">
        <f>'учет расходов 2020'!G134</f>
        <v>156000</v>
      </c>
    </row>
    <row r="65" spans="1:4" outlineLevel="1" x14ac:dyDescent="0.2">
      <c r="A65" s="410">
        <v>226</v>
      </c>
      <c r="B65" s="411" t="s">
        <v>327</v>
      </c>
      <c r="C65" s="409">
        <f>'учет расходов 2020'!G128</f>
        <v>100000</v>
      </c>
      <c r="D65" s="414"/>
    </row>
    <row r="66" spans="1:4" outlineLevel="1" x14ac:dyDescent="0.2">
      <c r="A66" s="410" t="s">
        <v>699</v>
      </c>
      <c r="B66" s="411" t="s">
        <v>698</v>
      </c>
      <c r="C66" s="409">
        <f>'учет расходов 2020'!G185+'учет расходов 2020'!G183</f>
        <v>137873.5</v>
      </c>
      <c r="D66" s="413"/>
    </row>
    <row r="67" spans="1:4" outlineLevel="1" x14ac:dyDescent="0.2">
      <c r="A67" s="410">
        <v>291</v>
      </c>
      <c r="B67" s="411" t="s">
        <v>199</v>
      </c>
      <c r="C67" s="409">
        <f>'учет расходов 2020'!G184+'учет расходов 2020'!G181</f>
        <v>508769.5</v>
      </c>
      <c r="D67" s="413"/>
    </row>
    <row r="68" spans="1:4" outlineLevel="1" x14ac:dyDescent="0.2">
      <c r="A68" s="410">
        <v>310</v>
      </c>
      <c r="B68" s="411" t="s">
        <v>152</v>
      </c>
      <c r="C68" s="409"/>
      <c r="D68" s="409">
        <f>'учет расходов 2020'!K144</f>
        <v>2400000</v>
      </c>
    </row>
    <row r="69" spans="1:4" outlineLevel="1" x14ac:dyDescent="0.2">
      <c r="A69" s="485">
        <v>226</v>
      </c>
      <c r="B69" s="603" t="s">
        <v>1368</v>
      </c>
      <c r="C69" s="926"/>
      <c r="D69" s="926">
        <f>'учет расходов 2020'!G132</f>
        <v>1500000</v>
      </c>
    </row>
    <row r="70" spans="1:4" outlineLevel="1" x14ac:dyDescent="0.2">
      <c r="A70" s="485">
        <v>226</v>
      </c>
      <c r="B70" s="603" t="s">
        <v>1372</v>
      </c>
      <c r="C70" s="926"/>
      <c r="D70" s="926">
        <f>'учет расходов 2020'!G129</f>
        <v>400000</v>
      </c>
    </row>
    <row r="71" spans="1:4" outlineLevel="1" x14ac:dyDescent="0.2">
      <c r="A71" s="410">
        <v>346</v>
      </c>
      <c r="B71" s="411" t="s">
        <v>143</v>
      </c>
      <c r="C71" s="409">
        <f>'учет расходов 2020'!F166</f>
        <v>130000</v>
      </c>
      <c r="D71" s="413"/>
    </row>
    <row r="72" spans="1:4" outlineLevel="1" x14ac:dyDescent="0.2">
      <c r="A72" s="410">
        <v>225</v>
      </c>
      <c r="B72" s="411" t="s">
        <v>689</v>
      </c>
      <c r="C72" s="409">
        <f>'учет расходов 2020'!G83</f>
        <v>10000</v>
      </c>
      <c r="D72" s="414"/>
    </row>
    <row r="73" spans="1:4" ht="25.5" outlineLevel="1" x14ac:dyDescent="0.2">
      <c r="A73" s="410">
        <v>225</v>
      </c>
      <c r="B73" s="411" t="s">
        <v>694</v>
      </c>
      <c r="C73" s="409">
        <f>SUM('учет расходов 2020'!G84:G92)</f>
        <v>489424</v>
      </c>
      <c r="D73" s="414"/>
    </row>
    <row r="74" spans="1:4" outlineLevel="1" x14ac:dyDescent="0.2">
      <c r="A74" s="410">
        <v>346</v>
      </c>
      <c r="B74" s="411" t="s">
        <v>503</v>
      </c>
      <c r="C74" s="409">
        <f>'учет расходов 2020'!F167+'учет расходов 2020'!F168</f>
        <v>500000</v>
      </c>
      <c r="D74" s="413"/>
    </row>
    <row r="75" spans="1:4" outlineLevel="1" x14ac:dyDescent="0.2">
      <c r="A75" s="410">
        <v>346</v>
      </c>
      <c r="B75" s="411" t="s">
        <v>695</v>
      </c>
      <c r="C75" s="409">
        <f>'учет расходов 2020'!G170+'учет расходов 2020'!G171+'учет расходов 2020'!G172</f>
        <v>94800</v>
      </c>
      <c r="D75" s="414"/>
    </row>
    <row r="76" spans="1:4" outlineLevel="1" x14ac:dyDescent="0.2">
      <c r="A76" s="410">
        <v>341</v>
      </c>
      <c r="B76" s="411" t="s">
        <v>323</v>
      </c>
      <c r="C76" s="413"/>
      <c r="D76" s="413">
        <f>'учет расходов 2020'!G148</f>
        <v>6235184.2435368439</v>
      </c>
    </row>
    <row r="77" spans="1:4" outlineLevel="1" x14ac:dyDescent="0.2">
      <c r="A77" s="410">
        <v>341</v>
      </c>
      <c r="B77" s="411" t="s">
        <v>322</v>
      </c>
      <c r="C77" s="412"/>
      <c r="D77" s="413">
        <f>'учет расходов 2020'!G147</f>
        <v>7234070.6617263155</v>
      </c>
    </row>
    <row r="78" spans="1:4" outlineLevel="1" x14ac:dyDescent="0.2">
      <c r="A78" s="485">
        <v>346</v>
      </c>
      <c r="B78" s="603" t="s">
        <v>669</v>
      </c>
      <c r="C78" s="927"/>
      <c r="D78" s="928">
        <f>'учет расходов 2020'!G174</f>
        <v>9897216.6989473701</v>
      </c>
    </row>
    <row r="79" spans="1:4" outlineLevel="1" x14ac:dyDescent="0.2">
      <c r="A79" s="410">
        <v>342</v>
      </c>
      <c r="B79" s="411" t="s">
        <v>343</v>
      </c>
      <c r="C79" s="409">
        <f>'учет расходов 2020'!G153</f>
        <v>200000</v>
      </c>
      <c r="D79" s="414"/>
    </row>
    <row r="80" spans="1:4" outlineLevel="1" x14ac:dyDescent="0.2">
      <c r="A80" s="485">
        <v>342</v>
      </c>
      <c r="B80" s="603" t="s">
        <v>1370</v>
      </c>
      <c r="C80" s="926"/>
      <c r="D80" s="928">
        <f>'учет расходов 2020'!G152</f>
        <v>15000</v>
      </c>
    </row>
    <row r="81" spans="1:7" outlineLevel="1" x14ac:dyDescent="0.2">
      <c r="A81" s="410">
        <v>341</v>
      </c>
      <c r="B81" s="411" t="s">
        <v>324</v>
      </c>
      <c r="C81" s="412"/>
      <c r="D81" s="413">
        <f>'учет расходов 2020'!G150</f>
        <v>286000</v>
      </c>
    </row>
    <row r="82" spans="1:7" ht="25.5" outlineLevel="1" x14ac:dyDescent="0.2">
      <c r="A82" s="485">
        <v>345</v>
      </c>
      <c r="B82" s="603" t="s">
        <v>1377</v>
      </c>
      <c r="C82" s="926">
        <f>'учет расходов 2020'!G156-'учет расходов 2020'!G159</f>
        <v>80000</v>
      </c>
      <c r="D82" s="928"/>
    </row>
    <row r="83" spans="1:7" outlineLevel="1" x14ac:dyDescent="0.2">
      <c r="A83" s="485">
        <v>349</v>
      </c>
      <c r="B83" s="603" t="s">
        <v>1365</v>
      </c>
      <c r="C83" s="926"/>
      <c r="D83" s="928">
        <f>'учет расходов 2020'!G176</f>
        <v>50000</v>
      </c>
    </row>
    <row r="84" spans="1:7" outlineLevel="1" x14ac:dyDescent="0.2">
      <c r="A84" s="410">
        <v>214</v>
      </c>
      <c r="B84" s="411" t="s">
        <v>691</v>
      </c>
      <c r="C84" s="412"/>
      <c r="D84" s="413">
        <f>'учет расходов 2020'!G12</f>
        <v>500000.00000000006</v>
      </c>
      <c r="E84" s="12">
        <f>D84+C85+D85</f>
        <v>1353601.8223655915</v>
      </c>
      <c r="F84" s="12">
        <f>'учет расходов 2020'!G11</f>
        <v>1353601.8223655915</v>
      </c>
      <c r="G84" s="12">
        <f>F84-E84</f>
        <v>0</v>
      </c>
    </row>
    <row r="85" spans="1:7" ht="25.5" outlineLevel="1" x14ac:dyDescent="0.2">
      <c r="A85" s="407" t="s">
        <v>693</v>
      </c>
      <c r="B85" s="411" t="s">
        <v>692</v>
      </c>
      <c r="C85" s="409">
        <f>'учет расходов 2020'!G11-'учет расходов 2020'!G12</f>
        <v>853601.82236559154</v>
      </c>
      <c r="D85" s="413"/>
    </row>
    <row r="86" spans="1:7" ht="15" x14ac:dyDescent="0.2">
      <c r="A86" s="410"/>
      <c r="B86" s="431"/>
      <c r="C86" s="429">
        <f>SUM(C50:C85)</f>
        <v>4477293.2223655917</v>
      </c>
      <c r="D86" s="429">
        <f>SUM(D50:D85)</f>
        <v>30880309.704210527</v>
      </c>
    </row>
    <row r="87" spans="1:7" ht="15" x14ac:dyDescent="0.2">
      <c r="A87" s="992" t="s">
        <v>383</v>
      </c>
      <c r="B87" s="992"/>
      <c r="C87" s="432">
        <f>C86+C48+C41+C37+C30+C20+C11</f>
        <v>62174496.01869037</v>
      </c>
      <c r="D87" s="432">
        <f>D86+D48+D41+D37+D30+D20+D11</f>
        <v>31306641.774210528</v>
      </c>
      <c r="E87" s="12"/>
    </row>
    <row r="88" spans="1:7" ht="13.5" x14ac:dyDescent="0.2">
      <c r="A88" s="62"/>
      <c r="B88" s="33"/>
      <c r="C88" s="34"/>
      <c r="D88" s="34"/>
      <c r="E88" s="12"/>
    </row>
    <row r="89" spans="1:7" ht="13.5" x14ac:dyDescent="0.2">
      <c r="A89" s="62"/>
      <c r="B89" s="34">
        <f>'учет расходов 2020'!G22</f>
        <v>50423734.126347825</v>
      </c>
      <c r="C89" s="34">
        <f>C87-C48-C17-C85-C84-C67-C66</f>
        <v>18405430.246799994</v>
      </c>
      <c r="D89" s="34">
        <f>D87-D48-D17-D85-D84</f>
        <v>30806641.774210528</v>
      </c>
      <c r="E89" s="931"/>
    </row>
    <row r="90" spans="1:7" x14ac:dyDescent="0.2">
      <c r="B90" s="69">
        <f>B89-C89-D89</f>
        <v>1211662.1053373031</v>
      </c>
      <c r="D90" s="930"/>
      <c r="E90" s="931"/>
      <c r="F90" s="932"/>
    </row>
    <row r="91" spans="1:7" x14ac:dyDescent="0.2">
      <c r="B91" s="69">
        <f>SUM(C92:C95)</f>
        <v>1211662.1053372957</v>
      </c>
      <c r="D91" s="930"/>
      <c r="E91" s="931"/>
      <c r="F91" s="932"/>
    </row>
    <row r="92" spans="1:7" ht="25.5" outlineLevel="1" x14ac:dyDescent="0.2">
      <c r="A92" s="485">
        <v>341</v>
      </c>
      <c r="B92" s="603" t="s">
        <v>1369</v>
      </c>
      <c r="C92" s="926">
        <f>'учет расходов 2020'!G149</f>
        <v>262848.10533729568</v>
      </c>
      <c r="D92" s="928"/>
      <c r="E92" s="9" t="s">
        <v>1375</v>
      </c>
    </row>
    <row r="93" spans="1:7" outlineLevel="1" x14ac:dyDescent="0.2">
      <c r="A93" s="485">
        <v>346</v>
      </c>
      <c r="B93" s="603" t="s">
        <v>1371</v>
      </c>
      <c r="C93" s="926">
        <f>'учет расходов 2020'!G175</f>
        <v>100000</v>
      </c>
      <c r="D93" s="929"/>
      <c r="E93" s="9" t="s">
        <v>1375</v>
      </c>
    </row>
    <row r="94" spans="1:7" outlineLevel="1" x14ac:dyDescent="0.2">
      <c r="A94" s="485">
        <v>345</v>
      </c>
      <c r="B94" s="487" t="s">
        <v>1376</v>
      </c>
      <c r="C94" s="504">
        <f>'учет расходов 2020'!G159</f>
        <v>686814</v>
      </c>
      <c r="D94" s="487"/>
      <c r="E94" s="9" t="s">
        <v>1375</v>
      </c>
    </row>
    <row r="95" spans="1:7" outlineLevel="1" x14ac:dyDescent="0.2">
      <c r="A95" s="410">
        <v>346</v>
      </c>
      <c r="B95" s="411" t="s">
        <v>696</v>
      </c>
      <c r="C95" s="409">
        <f>'учет расходов 2020'!G161+'учет расходов 2020'!G162+'учет расходов 2020'!G163</f>
        <v>162000</v>
      </c>
      <c r="D95" s="414"/>
      <c r="E95" s="9" t="s">
        <v>1375</v>
      </c>
    </row>
    <row r="98" spans="2:4" ht="15" x14ac:dyDescent="0.2">
      <c r="B98" s="54" t="s">
        <v>21</v>
      </c>
      <c r="C98" s="44">
        <f>Лист4!C96</f>
        <v>3.7</v>
      </c>
    </row>
    <row r="99" spans="2:4" ht="15" x14ac:dyDescent="0.2">
      <c r="B99" s="54" t="s">
        <v>22</v>
      </c>
      <c r="C99" s="44">
        <f>Лист4!C97</f>
        <v>3.2</v>
      </c>
    </row>
    <row r="100" spans="2:4" ht="15" x14ac:dyDescent="0.2">
      <c r="B100" s="54" t="s">
        <v>23</v>
      </c>
      <c r="C100" s="44">
        <f>Лист4!C98</f>
        <v>4.1500000000000004</v>
      </c>
    </row>
    <row r="101" spans="2:4" ht="15" x14ac:dyDescent="0.2">
      <c r="B101" s="54" t="s">
        <v>20</v>
      </c>
      <c r="C101" s="44">
        <f>Лист4!C99</f>
        <v>5.4</v>
      </c>
    </row>
    <row r="102" spans="2:4" ht="15" x14ac:dyDescent="0.2">
      <c r="B102" s="54" t="s">
        <v>19</v>
      </c>
      <c r="C102" s="44">
        <f>Лист4!C100</f>
        <v>5.93</v>
      </c>
      <c r="D102" s="68">
        <v>5.93</v>
      </c>
    </row>
    <row r="103" spans="2:4" ht="15" x14ac:dyDescent="0.2">
      <c r="B103" s="54" t="s">
        <v>24</v>
      </c>
      <c r="C103" s="44">
        <f>Лист4!C101</f>
        <v>5</v>
      </c>
      <c r="D103" s="68">
        <v>5</v>
      </c>
    </row>
    <row r="104" spans="2:4" ht="15" x14ac:dyDescent="0.2">
      <c r="B104" s="54" t="s">
        <v>101</v>
      </c>
      <c r="C104" s="44">
        <f>Лист4!C102</f>
        <v>3.13</v>
      </c>
      <c r="D104" s="68">
        <v>3.12</v>
      </c>
    </row>
    <row r="105" spans="2:4" ht="15" x14ac:dyDescent="0.2">
      <c r="B105" s="53" t="s">
        <v>102</v>
      </c>
      <c r="C105" s="44">
        <f>Лист4!C103</f>
        <v>700</v>
      </c>
      <c r="D105" s="68">
        <v>684.48</v>
      </c>
    </row>
    <row r="106" spans="2:4" ht="15" x14ac:dyDescent="0.2">
      <c r="B106" s="53" t="s">
        <v>103</v>
      </c>
      <c r="C106" s="44">
        <f>Лист4!C104</f>
        <v>848.16</v>
      </c>
    </row>
    <row r="107" spans="2:4" ht="15" x14ac:dyDescent="0.2">
      <c r="B107" s="53" t="s">
        <v>104</v>
      </c>
      <c r="C107" s="44">
        <f>Лист4!C105</f>
        <v>1175.52</v>
      </c>
    </row>
    <row r="108" spans="2:4" ht="15" x14ac:dyDescent="0.2">
      <c r="B108" s="53" t="s">
        <v>105</v>
      </c>
      <c r="C108" s="44">
        <f>Лист4!C106</f>
        <v>1101.1199999999999</v>
      </c>
    </row>
    <row r="109" spans="2:4" ht="15" x14ac:dyDescent="0.2">
      <c r="B109" s="53" t="s">
        <v>106</v>
      </c>
      <c r="C109" s="44">
        <f>Лист4!C107</f>
        <v>980</v>
      </c>
    </row>
    <row r="110" spans="2:4" ht="15" x14ac:dyDescent="0.2">
      <c r="B110" s="54" t="s">
        <v>149</v>
      </c>
      <c r="C110" s="44">
        <f>Лист4!C109</f>
        <v>55</v>
      </c>
    </row>
    <row r="111" spans="2:4" ht="15" x14ac:dyDescent="0.2">
      <c r="B111" s="54" t="s">
        <v>150</v>
      </c>
      <c r="C111" s="44">
        <f>Лист4!C110</f>
        <v>25</v>
      </c>
    </row>
  </sheetData>
  <mergeCells count="8">
    <mergeCell ref="A87:B87"/>
    <mergeCell ref="A1:D1"/>
    <mergeCell ref="A49:D49"/>
    <mergeCell ref="A31:D31"/>
    <mergeCell ref="A38:D38"/>
    <mergeCell ref="A42:D42"/>
    <mergeCell ref="A12:D12"/>
    <mergeCell ref="A21:D21"/>
  </mergeCells>
  <printOptions horizontalCentered="1"/>
  <pageMargins left="0.31496062992125984" right="0" top="0.74803149606299213" bottom="0.35433070866141736" header="0.31496062992125984" footer="0.31496062992125984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2" sqref="H22"/>
    </sheetView>
  </sheetViews>
  <sheetFormatPr defaultRowHeight="15" outlineLevelRow="1" x14ac:dyDescent="0.25"/>
  <cols>
    <col min="1" max="1" width="7.28515625" style="134" customWidth="1"/>
    <col min="2" max="2" width="29.5703125" style="134" customWidth="1"/>
    <col min="3" max="3" width="17" style="134" customWidth="1"/>
    <col min="4" max="4" width="14.7109375" style="134" customWidth="1"/>
    <col min="5" max="5" width="15.140625" style="134" customWidth="1"/>
    <col min="6" max="6" width="17.28515625" style="134" customWidth="1"/>
    <col min="7" max="7" width="19.5703125" style="134" customWidth="1"/>
    <col min="8" max="8" width="11.5703125" style="134" customWidth="1"/>
    <col min="9" max="9" width="49.28515625" style="134" customWidth="1"/>
    <col min="10" max="11" width="9.140625" style="134" customWidth="1"/>
    <col min="12" max="16384" width="9.140625" style="134"/>
  </cols>
  <sheetData>
    <row r="1" spans="1:9" x14ac:dyDescent="0.25">
      <c r="A1" s="1078" t="s">
        <v>1281</v>
      </c>
      <c r="B1" s="1078"/>
      <c r="C1" s="1078"/>
      <c r="D1" s="1078"/>
      <c r="E1" s="1078"/>
      <c r="F1" s="1078"/>
      <c r="G1" s="1078"/>
      <c r="H1" s="1078"/>
      <c r="I1" s="1078"/>
    </row>
    <row r="2" spans="1:9" s="451" customFormat="1" ht="6" customHeight="1" x14ac:dyDescent="0.25">
      <c r="A2" s="473"/>
      <c r="B2" s="473"/>
      <c r="C2" s="473"/>
      <c r="D2" s="473"/>
      <c r="E2" s="473"/>
      <c r="F2" s="473"/>
      <c r="G2" s="473"/>
      <c r="H2" s="473"/>
      <c r="I2" s="473"/>
    </row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19" customFormat="1" ht="11.25" x14ac:dyDescent="0.25">
      <c r="A4" s="142">
        <v>1</v>
      </c>
      <c r="B4" s="142">
        <v>2</v>
      </c>
      <c r="C4" s="142">
        <v>3</v>
      </c>
      <c r="D4" s="142">
        <v>4</v>
      </c>
      <c r="E4" s="142" t="s">
        <v>158</v>
      </c>
      <c r="F4" s="142"/>
      <c r="G4" s="142">
        <v>6</v>
      </c>
      <c r="H4" s="142" t="s">
        <v>6</v>
      </c>
      <c r="I4" s="142">
        <v>8</v>
      </c>
    </row>
    <row r="5" spans="1:9" x14ac:dyDescent="0.25">
      <c r="A5" s="143" t="s">
        <v>7</v>
      </c>
      <c r="B5" s="144"/>
      <c r="C5" s="144"/>
      <c r="D5" s="144"/>
      <c r="E5" s="144"/>
      <c r="F5" s="144"/>
      <c r="G5" s="144"/>
      <c r="H5" s="144"/>
      <c r="I5" s="145"/>
    </row>
    <row r="6" spans="1:9" s="172" customFormat="1" ht="102" outlineLevel="1" x14ac:dyDescent="0.25">
      <c r="A6" s="168">
        <v>211.21299999999999</v>
      </c>
      <c r="B6" s="147" t="str">
        <f>№5!B6</f>
        <v>Основной персонал (ветеринарные и лабораторные специалисты)</v>
      </c>
      <c r="C6" s="507">
        <f>'ФВ РЦВК'!O11</f>
        <v>18.190000000000001</v>
      </c>
      <c r="D6" s="507">
        <f>'ФВ РЦВК'!G11</f>
        <v>107</v>
      </c>
      <c r="E6" s="150">
        <f>C6/D6</f>
        <v>0.17</v>
      </c>
      <c r="F6" s="507">
        <f>№5!F6</f>
        <v>49567.094099296366</v>
      </c>
      <c r="G6" s="507">
        <f>№5!G6</f>
        <v>260.16000000000003</v>
      </c>
      <c r="H6" s="150">
        <f>E6*G6</f>
        <v>44.227200000000011</v>
      </c>
      <c r="I6" s="151" t="str">
        <f>№5!I6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s="172" customFormat="1" x14ac:dyDescent="0.25">
      <c r="A7" s="1079" t="s">
        <v>8</v>
      </c>
      <c r="B7" s="1080"/>
      <c r="C7" s="1080"/>
      <c r="D7" s="1080"/>
      <c r="E7" s="1080"/>
      <c r="F7" s="1080"/>
      <c r="G7" s="1081"/>
      <c r="H7" s="253">
        <f>SUM(H6:H6)</f>
        <v>44.227200000000011</v>
      </c>
      <c r="I7" s="161"/>
    </row>
    <row r="8" spans="1:9" s="172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72" customFormat="1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158</v>
      </c>
      <c r="F9" s="246">
        <v>6</v>
      </c>
      <c r="G9" s="246">
        <v>7</v>
      </c>
      <c r="H9" s="246" t="s">
        <v>12</v>
      </c>
      <c r="I9" s="246">
        <v>9</v>
      </c>
    </row>
    <row r="10" spans="1:9" s="172" customFormat="1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s="172" customFormat="1" outlineLevel="1" x14ac:dyDescent="0.25">
      <c r="A11" s="168">
        <v>1</v>
      </c>
      <c r="B11" s="147" t="s">
        <v>940</v>
      </c>
      <c r="C11" s="148">
        <f>'МЗ РЦВК'!$C$51*'МЗ РЦВК'!D5</f>
        <v>248</v>
      </c>
      <c r="D11" s="558">
        <f>№5!D11</f>
        <v>265212.859</v>
      </c>
      <c r="E11" s="169">
        <f t="shared" ref="E11:E17" si="0">(C11/D11)</f>
        <v>9.3509794711726252E-4</v>
      </c>
      <c r="F11" s="169">
        <v>1</v>
      </c>
      <c r="G11" s="148">
        <f>SUMIF('МЗ РЦВК'!$B$5:$B$45,$B11,'МЗ РЦВК'!$C$5:$C$45)</f>
        <v>700</v>
      </c>
      <c r="H11" s="150">
        <f>C11/D11*G11/F11</f>
        <v>0.65456856298208377</v>
      </c>
      <c r="I11" s="1102" t="s">
        <v>348</v>
      </c>
    </row>
    <row r="12" spans="1:9" s="172" customFormat="1" ht="30" outlineLevel="1" x14ac:dyDescent="0.25">
      <c r="A12" s="168">
        <v>2</v>
      </c>
      <c r="B12" s="147" t="s">
        <v>941</v>
      </c>
      <c r="C12" s="148">
        <f>'МЗ РЦВК'!$C$51*'МЗ РЦВК'!D6</f>
        <v>248</v>
      </c>
      <c r="D12" s="559">
        <f t="shared" ref="D12:D17" si="1">$D$11</f>
        <v>265212.859</v>
      </c>
      <c r="E12" s="169">
        <f t="shared" si="0"/>
        <v>9.3509794711726252E-4</v>
      </c>
      <c r="F12" s="169">
        <v>1</v>
      </c>
      <c r="G12" s="148">
        <f>SUMIF('МЗ РЦВК'!$B$5:$B$45,$B12,'МЗ РЦВК'!$C$5:$C$45)</f>
        <v>1400</v>
      </c>
      <c r="H12" s="150">
        <f t="shared" ref="H12:H17" si="2">C12/D12*G12/F12</f>
        <v>1.3091371259641675</v>
      </c>
      <c r="I12" s="1103"/>
    </row>
    <row r="13" spans="1:9" s="172" customFormat="1" outlineLevel="1" x14ac:dyDescent="0.25">
      <c r="A13" s="168">
        <v>3</v>
      </c>
      <c r="B13" s="147" t="s">
        <v>942</v>
      </c>
      <c r="C13" s="148">
        <f>'МЗ РЦВК'!$C$51*'МЗ РЦВК'!D7</f>
        <v>124</v>
      </c>
      <c r="D13" s="559">
        <f t="shared" si="1"/>
        <v>265212.859</v>
      </c>
      <c r="E13" s="169">
        <f t="shared" si="0"/>
        <v>4.6754897355863126E-4</v>
      </c>
      <c r="F13" s="169">
        <v>2</v>
      </c>
      <c r="G13" s="148">
        <f>SUMIF('МЗ РЦВК'!$B$5:$B$45,$B13,'МЗ РЦВК'!$C$5:$C$45)</f>
        <v>260</v>
      </c>
      <c r="H13" s="150">
        <f t="shared" si="2"/>
        <v>6.0781366562622063E-2</v>
      </c>
      <c r="I13" s="1103"/>
    </row>
    <row r="14" spans="1:9" s="172" customFormat="1" ht="30" outlineLevel="1" x14ac:dyDescent="0.25">
      <c r="A14" s="168">
        <v>4</v>
      </c>
      <c r="B14" s="147" t="s">
        <v>955</v>
      </c>
      <c r="C14" s="148">
        <f>'МЗ РЦВК'!C48*'МЗ РЦВК'!D8</f>
        <v>80</v>
      </c>
      <c r="D14" s="559">
        <f t="shared" si="1"/>
        <v>265212.859</v>
      </c>
      <c r="E14" s="630">
        <f t="shared" ref="E14" si="3">(C14/D14)</f>
        <v>3.0164449907008468E-4</v>
      </c>
      <c r="F14" s="486">
        <v>2</v>
      </c>
      <c r="G14" s="148">
        <f>SUMIF('МЗ РЦВК'!$B$5:$B$45,$B14,'МЗ РЦВК'!$C$5:$C$45)</f>
        <v>980</v>
      </c>
      <c r="H14" s="150">
        <f t="shared" si="2"/>
        <v>0.1478058045443415</v>
      </c>
      <c r="I14" s="1103"/>
    </row>
    <row r="15" spans="1:9" s="172" customFormat="1" outlineLevel="1" x14ac:dyDescent="0.25">
      <c r="A15" s="168">
        <v>5</v>
      </c>
      <c r="B15" s="147" t="s">
        <v>943</v>
      </c>
      <c r="C15" s="148">
        <f>'МЗ РЦВК'!C50*'МЗ РЦВК'!D9</f>
        <v>54</v>
      </c>
      <c r="D15" s="559">
        <f t="shared" si="1"/>
        <v>265212.859</v>
      </c>
      <c r="E15" s="169">
        <f t="shared" si="0"/>
        <v>2.0361003687230717E-4</v>
      </c>
      <c r="F15" s="169">
        <v>1</v>
      </c>
      <c r="G15" s="148">
        <f>SUMIF('МЗ РЦВК'!$B$5:$B$45,$B15,'МЗ РЦВК'!$C$5:$C$45)</f>
        <v>61</v>
      </c>
      <c r="H15" s="150">
        <f t="shared" si="2"/>
        <v>1.2420212249210737E-2</v>
      </c>
      <c r="I15" s="1103"/>
    </row>
    <row r="16" spans="1:9" s="172" customFormat="1" outlineLevel="1" x14ac:dyDescent="0.25">
      <c r="A16" s="168">
        <v>6</v>
      </c>
      <c r="B16" s="147" t="s">
        <v>149</v>
      </c>
      <c r="C16" s="148">
        <f>'МЗ РЦВК'!$C$51*'МЗ РЦВК'!D10</f>
        <v>496</v>
      </c>
      <c r="D16" s="559">
        <f t="shared" si="1"/>
        <v>265212.859</v>
      </c>
      <c r="E16" s="169">
        <f t="shared" si="0"/>
        <v>1.870195894234525E-3</v>
      </c>
      <c r="F16" s="169">
        <v>1</v>
      </c>
      <c r="G16" s="148">
        <f>SUMIF('МЗ РЦВК'!$B$5:$B$45,$B16,'МЗ РЦВК'!$C$5:$C$45)</f>
        <v>55</v>
      </c>
      <c r="H16" s="150">
        <f t="shared" si="2"/>
        <v>0.10286077418289888</v>
      </c>
      <c r="I16" s="1103"/>
    </row>
    <row r="17" spans="1:9" s="172" customFormat="1" outlineLevel="1" x14ac:dyDescent="0.25">
      <c r="A17" s="168">
        <v>7</v>
      </c>
      <c r="B17" s="147" t="s">
        <v>150</v>
      </c>
      <c r="C17" s="148">
        <f>'МЗ РЦВК'!$C$51*'МЗ РЦВК'!D11</f>
        <v>992</v>
      </c>
      <c r="D17" s="559">
        <f t="shared" si="1"/>
        <v>265212.859</v>
      </c>
      <c r="E17" s="169">
        <f t="shared" si="0"/>
        <v>3.7403917884690501E-3</v>
      </c>
      <c r="F17" s="169">
        <v>1</v>
      </c>
      <c r="G17" s="148">
        <f>SUMIF('МЗ РЦВК'!$B$5:$B$45,$B17,'МЗ РЦВК'!$C$5:$C$45)</f>
        <v>25</v>
      </c>
      <c r="H17" s="150">
        <f t="shared" si="2"/>
        <v>9.3509794711726255E-2</v>
      </c>
      <c r="I17" s="1103"/>
    </row>
    <row r="18" spans="1:9" s="172" customFormat="1" x14ac:dyDescent="0.25">
      <c r="A18" s="1072" t="s">
        <v>365</v>
      </c>
      <c r="B18" s="1073"/>
      <c r="C18" s="1073"/>
      <c r="D18" s="1073"/>
      <c r="E18" s="1073"/>
      <c r="F18" s="1073"/>
      <c r="G18" s="1074"/>
      <c r="H18" s="253">
        <f>SUM(H11:H17)</f>
        <v>2.3810836411970504</v>
      </c>
      <c r="I18" s="1104"/>
    </row>
    <row r="19" spans="1:9" s="172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474" customFormat="1" ht="11.25" x14ac:dyDescent="0.25">
      <c r="A20" s="246">
        <v>1</v>
      </c>
      <c r="B20" s="246">
        <v>2</v>
      </c>
      <c r="C20" s="246">
        <v>3</v>
      </c>
      <c r="D20" s="246">
        <v>4</v>
      </c>
      <c r="E20" s="246" t="s">
        <v>5</v>
      </c>
      <c r="F20" s="246">
        <v>6</v>
      </c>
      <c r="G20" s="246">
        <v>7</v>
      </c>
      <c r="H20" s="246" t="s">
        <v>12</v>
      </c>
      <c r="I20" s="246">
        <v>9</v>
      </c>
    </row>
    <row r="21" spans="1:9" s="172" customFormat="1" x14ac:dyDescent="0.25">
      <c r="A21" s="1126" t="s">
        <v>16</v>
      </c>
      <c r="B21" s="1126"/>
      <c r="C21" s="1126"/>
      <c r="D21" s="1126"/>
      <c r="E21" s="1126"/>
      <c r="F21" s="1126"/>
      <c r="G21" s="1126"/>
      <c r="H21" s="1126"/>
      <c r="I21" s="1126"/>
    </row>
    <row r="22" spans="1:9" s="172" customFormat="1" outlineLevel="1" x14ac:dyDescent="0.25">
      <c r="A22" s="168">
        <v>1</v>
      </c>
      <c r="B22" s="124" t="s">
        <v>317</v>
      </c>
      <c r="C22" s="148">
        <f>$D$6*E22</f>
        <v>856</v>
      </c>
      <c r="D22" s="150">
        <f>D6</f>
        <v>107</v>
      </c>
      <c r="E22" s="169">
        <v>8</v>
      </c>
      <c r="F22" s="169">
        <v>1</v>
      </c>
      <c r="G22" s="171">
        <f>№5!G36</f>
        <v>0.5</v>
      </c>
      <c r="H22" s="150">
        <f>C22/D22*G22</f>
        <v>4</v>
      </c>
      <c r="I22" s="1103" t="str">
        <f>№5!I36</f>
        <v>стоимость 1 пачки  250 руб, 500 листов</v>
      </c>
    </row>
    <row r="23" spans="1:9" s="172" customFormat="1" x14ac:dyDescent="0.25">
      <c r="A23" s="1072"/>
      <c r="B23" s="1073"/>
      <c r="C23" s="1073"/>
      <c r="D23" s="1073"/>
      <c r="E23" s="1073"/>
      <c r="F23" s="1073"/>
      <c r="G23" s="1074"/>
      <c r="H23" s="253">
        <f>SUM(H22)</f>
        <v>4</v>
      </c>
      <c r="I23" s="1104"/>
    </row>
    <row r="24" spans="1:9" x14ac:dyDescent="0.25">
      <c r="A24" s="1075" t="s">
        <v>18</v>
      </c>
      <c r="B24" s="1076"/>
      <c r="C24" s="1076"/>
      <c r="D24" s="1076"/>
      <c r="E24" s="1076"/>
      <c r="F24" s="1076"/>
      <c r="G24" s="1077"/>
      <c r="H24" s="152">
        <f>H23+H18+H7</f>
        <v>50.608283641197062</v>
      </c>
      <c r="I24" s="155"/>
    </row>
  </sheetData>
  <mergeCells count="9">
    <mergeCell ref="I22:I23"/>
    <mergeCell ref="A23:G23"/>
    <mergeCell ref="A24:G24"/>
    <mergeCell ref="A1:I1"/>
    <mergeCell ref="A7:G7"/>
    <mergeCell ref="A10:I10"/>
    <mergeCell ref="A18:G18"/>
    <mergeCell ref="A21:I21"/>
    <mergeCell ref="I11:I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134" customWidth="1"/>
    <col min="2" max="4" width="10" style="134" customWidth="1"/>
    <col min="5" max="11" width="7.7109375" style="134" customWidth="1"/>
    <col min="12" max="12" width="16.42578125" style="134" customWidth="1"/>
    <col min="13" max="16384" width="9.140625" style="134"/>
  </cols>
  <sheetData>
    <row r="1" spans="1:12" x14ac:dyDescent="0.25">
      <c r="A1" s="1116" t="s">
        <v>521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</row>
    <row r="2" spans="1:12" s="401" customFormat="1" ht="7.5" customHeigh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399"/>
    </row>
    <row r="3" spans="1:12" ht="28.5" customHeight="1" x14ac:dyDescent="0.25">
      <c r="A3" s="1090" t="s">
        <v>160</v>
      </c>
      <c r="B3" s="1092" t="s">
        <v>161</v>
      </c>
      <c r="C3" s="1093"/>
      <c r="D3" s="1094"/>
      <c r="E3" s="1092" t="s">
        <v>162</v>
      </c>
      <c r="F3" s="1093"/>
      <c r="G3" s="1093"/>
      <c r="H3" s="1093"/>
      <c r="I3" s="1093"/>
      <c r="J3" s="1093"/>
      <c r="K3" s="1094"/>
      <c r="L3" s="1090" t="s">
        <v>163</v>
      </c>
    </row>
    <row r="4" spans="1:12" x14ac:dyDescent="0.25">
      <c r="A4" s="1091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91"/>
    </row>
    <row r="5" spans="1:12" s="11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ht="89.25" x14ac:dyDescent="0.25">
      <c r="A6" s="130" t="s">
        <v>44</v>
      </c>
      <c r="B6" s="160">
        <f>№6!H7</f>
        <v>44.227200000000011</v>
      </c>
      <c r="C6" s="160">
        <f>№6!H18</f>
        <v>2.3810836411970504</v>
      </c>
      <c r="D6" s="160">
        <f>№6!H23</f>
        <v>4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60">
        <f>SUM(B6:K6)</f>
        <v>199.40396903817879</v>
      </c>
    </row>
    <row r="7" spans="1:12" hidden="1" x14ac:dyDescent="0.25">
      <c r="L7" s="134">
        <v>148.66688538557213</v>
      </c>
    </row>
    <row r="18" spans="6:6" x14ac:dyDescent="0.25">
      <c r="F18" s="135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J29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 outlineLevelRow="1" x14ac:dyDescent="0.25"/>
  <cols>
    <col min="1" max="1" width="7.28515625" style="134" customWidth="1"/>
    <col min="2" max="2" width="29.5703125" style="134" customWidth="1"/>
    <col min="3" max="3" width="17" style="134" customWidth="1"/>
    <col min="4" max="4" width="14.7109375" style="134" customWidth="1"/>
    <col min="5" max="5" width="15.140625" style="134" customWidth="1"/>
    <col min="6" max="6" width="17.28515625" style="134" customWidth="1"/>
    <col min="7" max="7" width="19.5703125" style="134" customWidth="1"/>
    <col min="8" max="8" width="11.5703125" style="134" customWidth="1"/>
    <col min="9" max="9" width="49.28515625" style="134" customWidth="1"/>
    <col min="10" max="10" width="9.140625" style="134" hidden="1" customWidth="1"/>
    <col min="11" max="11" width="9.140625" style="134" customWidth="1"/>
    <col min="12" max="16384" width="9.140625" style="134"/>
  </cols>
  <sheetData>
    <row r="1" spans="1:9" x14ac:dyDescent="0.25">
      <c r="A1" s="1078" t="s">
        <v>1280</v>
      </c>
      <c r="B1" s="1078"/>
      <c r="C1" s="1078"/>
      <c r="D1" s="1078"/>
      <c r="E1" s="1078"/>
      <c r="F1" s="1078"/>
      <c r="G1" s="1078"/>
      <c r="H1" s="1078"/>
      <c r="I1" s="1078"/>
    </row>
    <row r="2" spans="1:9" s="451" customFormat="1" ht="6" customHeight="1" x14ac:dyDescent="0.25">
      <c r="A2" s="473"/>
      <c r="B2" s="473"/>
      <c r="C2" s="473"/>
      <c r="D2" s="473"/>
      <c r="E2" s="473"/>
      <c r="F2" s="473"/>
      <c r="G2" s="473"/>
      <c r="H2" s="473"/>
      <c r="I2" s="473"/>
    </row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19" customFormat="1" ht="11.25" x14ac:dyDescent="0.25">
      <c r="A4" s="142">
        <v>1</v>
      </c>
      <c r="B4" s="142">
        <v>2</v>
      </c>
      <c r="C4" s="142">
        <v>3</v>
      </c>
      <c r="D4" s="142">
        <v>4</v>
      </c>
      <c r="E4" s="142" t="s">
        <v>158</v>
      </c>
      <c r="F4" s="142"/>
      <c r="G4" s="142">
        <v>6</v>
      </c>
      <c r="H4" s="142" t="s">
        <v>6</v>
      </c>
      <c r="I4" s="142">
        <v>8</v>
      </c>
    </row>
    <row r="5" spans="1:9" x14ac:dyDescent="0.25">
      <c r="A5" s="143" t="s">
        <v>7</v>
      </c>
      <c r="B5" s="144"/>
      <c r="C5" s="144"/>
      <c r="D5" s="144"/>
      <c r="E5" s="144"/>
      <c r="F5" s="144"/>
      <c r="G5" s="144"/>
      <c r="H5" s="144"/>
      <c r="I5" s="145"/>
    </row>
    <row r="6" spans="1:9" s="172" customFormat="1" ht="102" outlineLevel="1" x14ac:dyDescent="0.25">
      <c r="A6" s="168">
        <v>211.21299999999999</v>
      </c>
      <c r="B6" s="147" t="str">
        <f>№6!B6</f>
        <v>Основной персонал (ветеринарные и лабораторные специалисты)</v>
      </c>
      <c r="C6" s="507">
        <f>'ФВ РЦВК'!O12</f>
        <v>2311.2000000000003</v>
      </c>
      <c r="D6" s="507">
        <f>'ФВ РЦВК'!G12</f>
        <v>321</v>
      </c>
      <c r="E6" s="150">
        <f>C6/D6</f>
        <v>7.2000000000000011</v>
      </c>
      <c r="F6" s="507">
        <f>№6!F6</f>
        <v>49567.094099296366</v>
      </c>
      <c r="G6" s="507">
        <f>№6!G6</f>
        <v>260.16000000000003</v>
      </c>
      <c r="H6" s="150">
        <f>E6*G6</f>
        <v>1873.1520000000005</v>
      </c>
      <c r="I6" s="151" t="str">
        <f>№6!I6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s="172" customFormat="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SUM(H6)</f>
        <v>1873.1520000000005</v>
      </c>
      <c r="I7" s="161"/>
    </row>
    <row r="8" spans="1:9" s="172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474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158</v>
      </c>
      <c r="F9" s="246">
        <v>6</v>
      </c>
      <c r="G9" s="246">
        <v>7</v>
      </c>
      <c r="H9" s="246" t="s">
        <v>12</v>
      </c>
      <c r="I9" s="246">
        <v>9</v>
      </c>
    </row>
    <row r="10" spans="1:9" s="172" customFormat="1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s="172" customFormat="1" ht="15" customHeight="1" outlineLevel="1" x14ac:dyDescent="0.25">
      <c r="A11" s="168">
        <v>1</v>
      </c>
      <c r="B11" s="147" t="s">
        <v>940</v>
      </c>
      <c r="C11" s="148">
        <f>'МЗ РЦВК'!$C$51*'МЗ РЦВК'!D5</f>
        <v>248</v>
      </c>
      <c r="D11" s="558">
        <f>№6!D11</f>
        <v>265212.859</v>
      </c>
      <c r="E11" s="630">
        <f t="shared" ref="E11:E17" si="0">(C11/D11)</f>
        <v>9.3509794711726252E-4</v>
      </c>
      <c r="F11" s="169">
        <v>1</v>
      </c>
      <c r="G11" s="148">
        <f>SUMIF('МЗ РЦВК'!$B$5:$B$45,$B11,'МЗ РЦВК'!$C$5:$C$45)</f>
        <v>700</v>
      </c>
      <c r="H11" s="150">
        <f>C11/D11*G11/F11</f>
        <v>0.65456856298208377</v>
      </c>
      <c r="I11" s="1102" t="s">
        <v>348</v>
      </c>
    </row>
    <row r="12" spans="1:9" s="172" customFormat="1" ht="30" outlineLevel="1" x14ac:dyDescent="0.25">
      <c r="A12" s="168">
        <v>2</v>
      </c>
      <c r="B12" s="147" t="s">
        <v>941</v>
      </c>
      <c r="C12" s="148">
        <f>'МЗ РЦВК'!$C$51*'МЗ РЦВК'!D6</f>
        <v>248</v>
      </c>
      <c r="D12" s="559">
        <f>$D$11</f>
        <v>265212.859</v>
      </c>
      <c r="E12" s="630">
        <f t="shared" si="0"/>
        <v>9.3509794711726252E-4</v>
      </c>
      <c r="F12" s="169">
        <v>1</v>
      </c>
      <c r="G12" s="148">
        <f>SUMIF('МЗ РЦВК'!$B$5:$B$45,$B12,'МЗ РЦВК'!$C$5:$C$45)</f>
        <v>1400</v>
      </c>
      <c r="H12" s="150">
        <f t="shared" ref="H12:H22" si="1">C12/D12*G12/F12</f>
        <v>1.3091371259641675</v>
      </c>
      <c r="I12" s="1103"/>
    </row>
    <row r="13" spans="1:9" s="172" customFormat="1" outlineLevel="1" x14ac:dyDescent="0.25">
      <c r="A13" s="168">
        <v>3</v>
      </c>
      <c r="B13" s="147" t="s">
        <v>942</v>
      </c>
      <c r="C13" s="148">
        <f>'МЗ РЦВК'!$C$51*'МЗ РЦВК'!D7</f>
        <v>124</v>
      </c>
      <c r="D13" s="559">
        <f t="shared" ref="D13:D17" si="2">$D$11</f>
        <v>265212.859</v>
      </c>
      <c r="E13" s="630">
        <f t="shared" si="0"/>
        <v>4.6754897355863126E-4</v>
      </c>
      <c r="F13" s="169">
        <v>2</v>
      </c>
      <c r="G13" s="148">
        <f>SUMIF('МЗ РЦВК'!$B$5:$B$45,$B13,'МЗ РЦВК'!$C$5:$C$45)</f>
        <v>260</v>
      </c>
      <c r="H13" s="150">
        <f t="shared" si="1"/>
        <v>6.0781366562622063E-2</v>
      </c>
      <c r="I13" s="1103"/>
    </row>
    <row r="14" spans="1:9" s="172" customFormat="1" ht="30" outlineLevel="1" x14ac:dyDescent="0.25">
      <c r="A14" s="168">
        <v>4</v>
      </c>
      <c r="B14" s="147" t="s">
        <v>955</v>
      </c>
      <c r="C14" s="148">
        <f>'МЗ РЦВК'!C48*'МЗ РЦВК'!D8</f>
        <v>80</v>
      </c>
      <c r="D14" s="559">
        <f t="shared" si="2"/>
        <v>265212.859</v>
      </c>
      <c r="E14" s="630">
        <f t="shared" ref="E14" si="3">(C14/D14)</f>
        <v>3.0164449907008468E-4</v>
      </c>
      <c r="F14" s="486">
        <v>2</v>
      </c>
      <c r="G14" s="148">
        <f>SUMIF('МЗ РЦВК'!$B$5:$B$45,$B14,'МЗ РЦВК'!$C$5:$C$45)</f>
        <v>980</v>
      </c>
      <c r="H14" s="150">
        <f t="shared" si="1"/>
        <v>0.1478058045443415</v>
      </c>
      <c r="I14" s="1103"/>
    </row>
    <row r="15" spans="1:9" s="172" customFormat="1" outlineLevel="1" x14ac:dyDescent="0.25">
      <c r="A15" s="168">
        <v>5</v>
      </c>
      <c r="B15" s="147" t="s">
        <v>943</v>
      </c>
      <c r="C15" s="148">
        <f>'МЗ РЦВК'!C50*'МЗ РЦВК'!D9</f>
        <v>54</v>
      </c>
      <c r="D15" s="559">
        <f t="shared" si="2"/>
        <v>265212.859</v>
      </c>
      <c r="E15" s="630">
        <f t="shared" si="0"/>
        <v>2.0361003687230717E-4</v>
      </c>
      <c r="F15" s="169">
        <v>1</v>
      </c>
      <c r="G15" s="148">
        <f>SUMIF('МЗ РЦВК'!$B$5:$B$45,$B15,'МЗ РЦВК'!$C$5:$C$45)</f>
        <v>61</v>
      </c>
      <c r="H15" s="150">
        <f t="shared" si="1"/>
        <v>1.2420212249210737E-2</v>
      </c>
      <c r="I15" s="1103"/>
    </row>
    <row r="16" spans="1:9" s="172" customFormat="1" outlineLevel="1" x14ac:dyDescent="0.25">
      <c r="A16" s="168">
        <v>6</v>
      </c>
      <c r="B16" s="147" t="s">
        <v>149</v>
      </c>
      <c r="C16" s="148">
        <f>'МЗ РЦВК'!$C$51*'МЗ РЦВК'!D10</f>
        <v>496</v>
      </c>
      <c r="D16" s="559">
        <f t="shared" si="2"/>
        <v>265212.859</v>
      </c>
      <c r="E16" s="169">
        <f t="shared" si="0"/>
        <v>1.870195894234525E-3</v>
      </c>
      <c r="F16" s="169">
        <v>1</v>
      </c>
      <c r="G16" s="148">
        <f>SUMIF('МЗ РЦВК'!$B$5:$B$45,$B16,'МЗ РЦВК'!$C$5:$C$45)</f>
        <v>55</v>
      </c>
      <c r="H16" s="150">
        <f t="shared" si="1"/>
        <v>0.10286077418289888</v>
      </c>
      <c r="I16" s="1103"/>
    </row>
    <row r="17" spans="1:10" s="172" customFormat="1" outlineLevel="1" x14ac:dyDescent="0.25">
      <c r="A17" s="168">
        <v>7</v>
      </c>
      <c r="B17" s="147" t="s">
        <v>150</v>
      </c>
      <c r="C17" s="148">
        <f>'МЗ РЦВК'!$C$51*'МЗ РЦВК'!D11</f>
        <v>992</v>
      </c>
      <c r="D17" s="559">
        <f t="shared" si="2"/>
        <v>265212.859</v>
      </c>
      <c r="E17" s="630">
        <f t="shared" si="0"/>
        <v>3.7403917884690501E-3</v>
      </c>
      <c r="F17" s="169">
        <v>1</v>
      </c>
      <c r="G17" s="148">
        <f>SUMIF('МЗ РЦВК'!$B$5:$B$45,$B17,'МЗ РЦВК'!$C$5:$C$45)</f>
        <v>25</v>
      </c>
      <c r="H17" s="150">
        <f t="shared" si="1"/>
        <v>9.3509794711726255E-2</v>
      </c>
      <c r="I17" s="1104"/>
    </row>
    <row r="18" spans="1:10" s="172" customFormat="1" outlineLevel="1" x14ac:dyDescent="0.25">
      <c r="A18" s="168">
        <v>8</v>
      </c>
      <c r="B18" s="249" t="s">
        <v>393</v>
      </c>
      <c r="C18" s="150">
        <f>$D$6*1</f>
        <v>321</v>
      </c>
      <c r="D18" s="150">
        <f>$D$6</f>
        <v>321</v>
      </c>
      <c r="E18" s="169">
        <f>(C18/D18)</f>
        <v>1</v>
      </c>
      <c r="F18" s="629" t="s">
        <v>350</v>
      </c>
      <c r="G18" s="148">
        <f>SUMIF('МЗ РЦВК'!$B$5:$B$45,$B18,'МЗ РЦВК'!$C$5:$C$45)</f>
        <v>3.7</v>
      </c>
      <c r="H18" s="150">
        <f>C18/D18*G18</f>
        <v>3.7</v>
      </c>
      <c r="I18" s="1102"/>
      <c r="J18" s="631">
        <f>H18*D18</f>
        <v>1187.7</v>
      </c>
    </row>
    <row r="19" spans="1:10" s="172" customFormat="1" outlineLevel="1" x14ac:dyDescent="0.25">
      <c r="A19" s="168">
        <v>9</v>
      </c>
      <c r="B19" s="249" t="s">
        <v>351</v>
      </c>
      <c r="C19" s="150">
        <f>$D$6*1</f>
        <v>321</v>
      </c>
      <c r="D19" s="150">
        <f>$D$6</f>
        <v>321</v>
      </c>
      <c r="E19" s="169">
        <f t="shared" ref="E19:E22" si="4">(C19/D19)</f>
        <v>1</v>
      </c>
      <c r="F19" s="629" t="s">
        <v>350</v>
      </c>
      <c r="G19" s="148">
        <f>SUMIF('МЗ РЦВК'!$B$5:$B$45,$B19,'МЗ РЦВК'!$C$5:$C$45)</f>
        <v>2.0299999999999998</v>
      </c>
      <c r="H19" s="150">
        <f>C19/D19*G19</f>
        <v>2.0299999999999998</v>
      </c>
      <c r="I19" s="1103"/>
      <c r="J19" s="631">
        <f t="shared" ref="J19:J22" si="5">H19*D19</f>
        <v>651.62999999999988</v>
      </c>
    </row>
    <row r="20" spans="1:10" s="172" customFormat="1" outlineLevel="1" x14ac:dyDescent="0.25">
      <c r="A20" s="168">
        <v>10</v>
      </c>
      <c r="B20" s="249" t="s">
        <v>378</v>
      </c>
      <c r="C20" s="150">
        <f>$D$6*10</f>
        <v>3210</v>
      </c>
      <c r="D20" s="150">
        <f>$D$6</f>
        <v>321</v>
      </c>
      <c r="E20" s="169">
        <f t="shared" si="4"/>
        <v>10</v>
      </c>
      <c r="F20" s="169">
        <v>1</v>
      </c>
      <c r="G20" s="148">
        <f>SUMIF('МЗ РЦВК'!$B$5:$B$45,$B20,'МЗ РЦВК'!$C$5:$C$45)</f>
        <v>0.36</v>
      </c>
      <c r="H20" s="150">
        <f t="shared" si="1"/>
        <v>3.5999999999999996</v>
      </c>
      <c r="I20" s="1103"/>
      <c r="J20" s="631">
        <f t="shared" si="5"/>
        <v>1155.5999999999999</v>
      </c>
    </row>
    <row r="21" spans="1:10" s="172" customFormat="1" outlineLevel="1" x14ac:dyDescent="0.25">
      <c r="A21" s="168">
        <v>11</v>
      </c>
      <c r="B21" s="249" t="s">
        <v>363</v>
      </c>
      <c r="C21" s="150">
        <f>$D$6*0.2</f>
        <v>64.2</v>
      </c>
      <c r="D21" s="150">
        <f>$D$6</f>
        <v>321</v>
      </c>
      <c r="E21" s="169">
        <f t="shared" si="4"/>
        <v>0.2</v>
      </c>
      <c r="F21" s="169">
        <v>1</v>
      </c>
      <c r="G21" s="148">
        <f>SUMIF('МЗ РЦВК'!$B$5:$B$45,$B21,'МЗ РЦВК'!$C$5:$C$45)</f>
        <v>0.39</v>
      </c>
      <c r="H21" s="150">
        <f t="shared" si="1"/>
        <v>7.8000000000000014E-2</v>
      </c>
      <c r="I21" s="1103"/>
      <c r="J21" s="631">
        <f t="shared" si="5"/>
        <v>25.038000000000004</v>
      </c>
    </row>
    <row r="22" spans="1:10" s="172" customFormat="1" outlineLevel="1" x14ac:dyDescent="0.25">
      <c r="A22" s="168">
        <v>12</v>
      </c>
      <c r="B22" s="249" t="s">
        <v>563</v>
      </c>
      <c r="C22" s="150">
        <f>$D$6*1</f>
        <v>321</v>
      </c>
      <c r="D22" s="150">
        <f>$D$6</f>
        <v>321</v>
      </c>
      <c r="E22" s="169">
        <f t="shared" si="4"/>
        <v>1</v>
      </c>
      <c r="F22" s="169">
        <v>1</v>
      </c>
      <c r="G22" s="148">
        <f>SUMIF('МЗ РЦВК'!$B$5:$B$45,$B22,'МЗ РЦВК'!$C$5:$C$45)</f>
        <v>1.02</v>
      </c>
      <c r="H22" s="150">
        <f t="shared" si="1"/>
        <v>1.02</v>
      </c>
      <c r="I22" s="1103"/>
      <c r="J22" s="631">
        <f t="shared" si="5"/>
        <v>327.42</v>
      </c>
    </row>
    <row r="23" spans="1:10" s="172" customFormat="1" x14ac:dyDescent="0.25">
      <c r="A23" s="1072" t="s">
        <v>365</v>
      </c>
      <c r="B23" s="1073"/>
      <c r="C23" s="1073"/>
      <c r="D23" s="1073"/>
      <c r="E23" s="1073"/>
      <c r="F23" s="1073"/>
      <c r="G23" s="1074"/>
      <c r="H23" s="253">
        <f>SUM(H11:H22)</f>
        <v>12.809083641197049</v>
      </c>
      <c r="I23" s="1104"/>
      <c r="J23" s="631">
        <f>SUM(J18:J22)</f>
        <v>3347.3879999999999</v>
      </c>
    </row>
    <row r="24" spans="1:10" s="172" customFormat="1" ht="67.5" x14ac:dyDescent="0.25">
      <c r="A24" s="141" t="s">
        <v>0</v>
      </c>
      <c r="B24" s="141" t="s">
        <v>9</v>
      </c>
      <c r="C24" s="637" t="s">
        <v>1278</v>
      </c>
      <c r="D24" s="141" t="s">
        <v>123</v>
      </c>
      <c r="E24" s="141" t="s">
        <v>10</v>
      </c>
      <c r="F24" s="141" t="s">
        <v>15</v>
      </c>
      <c r="G24" s="141" t="s">
        <v>939</v>
      </c>
      <c r="H24" s="141" t="s">
        <v>347</v>
      </c>
      <c r="I24" s="141" t="s">
        <v>4</v>
      </c>
    </row>
    <row r="25" spans="1:10" s="474" customFormat="1" ht="11.25" x14ac:dyDescent="0.25">
      <c r="A25" s="246">
        <v>1</v>
      </c>
      <c r="B25" s="246">
        <v>2</v>
      </c>
      <c r="C25" s="246">
        <v>3</v>
      </c>
      <c r="D25" s="246">
        <v>4</v>
      </c>
      <c r="E25" s="246" t="s">
        <v>5</v>
      </c>
      <c r="F25" s="246">
        <v>6</v>
      </c>
      <c r="G25" s="246">
        <v>7</v>
      </c>
      <c r="H25" s="246" t="s">
        <v>12</v>
      </c>
      <c r="I25" s="246">
        <v>9</v>
      </c>
    </row>
    <row r="26" spans="1:10" s="172" customFormat="1" x14ac:dyDescent="0.25">
      <c r="A26" s="1126" t="s">
        <v>16</v>
      </c>
      <c r="B26" s="1126"/>
      <c r="C26" s="1126"/>
      <c r="D26" s="1126"/>
      <c r="E26" s="1126"/>
      <c r="F26" s="1126"/>
      <c r="G26" s="1126"/>
      <c r="H26" s="1126"/>
      <c r="I26" s="1126"/>
    </row>
    <row r="27" spans="1:10" s="172" customFormat="1" outlineLevel="1" x14ac:dyDescent="0.25">
      <c r="A27" s="168"/>
      <c r="B27" s="169" t="s">
        <v>367</v>
      </c>
      <c r="C27" s="170"/>
      <c r="D27" s="170"/>
      <c r="E27" s="169"/>
      <c r="F27" s="169"/>
      <c r="G27" s="171"/>
      <c r="H27" s="171"/>
      <c r="I27" s="1103"/>
    </row>
    <row r="28" spans="1:10" s="172" customFormat="1" x14ac:dyDescent="0.25">
      <c r="A28" s="1072"/>
      <c r="B28" s="1073"/>
      <c r="C28" s="1073"/>
      <c r="D28" s="1073"/>
      <c r="E28" s="1073"/>
      <c r="F28" s="1073"/>
      <c r="G28" s="1074"/>
      <c r="H28" s="253">
        <v>0</v>
      </c>
      <c r="I28" s="1104"/>
    </row>
    <row r="29" spans="1:10" x14ac:dyDescent="0.25">
      <c r="A29" s="1075" t="s">
        <v>18</v>
      </c>
      <c r="B29" s="1076"/>
      <c r="C29" s="1076"/>
      <c r="D29" s="1076"/>
      <c r="E29" s="1076"/>
      <c r="F29" s="1076"/>
      <c r="G29" s="1077"/>
      <c r="H29" s="164">
        <f>H28+H23+H7</f>
        <v>1885.9610836411975</v>
      </c>
      <c r="I29" s="155"/>
    </row>
  </sheetData>
  <mergeCells count="10">
    <mergeCell ref="I27:I28"/>
    <mergeCell ref="A28:G28"/>
    <mergeCell ref="A29:G29"/>
    <mergeCell ref="A1:I1"/>
    <mergeCell ref="A7:G7"/>
    <mergeCell ref="A10:I10"/>
    <mergeCell ref="A23:G23"/>
    <mergeCell ref="A26:I26"/>
    <mergeCell ref="I11:I17"/>
    <mergeCell ref="I18:I23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8"/>
  <sheetViews>
    <sheetView workbookViewId="0">
      <selection activeCell="C6" sqref="C6"/>
    </sheetView>
  </sheetViews>
  <sheetFormatPr defaultRowHeight="15" x14ac:dyDescent="0.25"/>
  <cols>
    <col min="1" max="1" width="29.5703125" style="134" customWidth="1"/>
    <col min="2" max="4" width="10" style="134" customWidth="1"/>
    <col min="5" max="11" width="7.7109375" style="134" customWidth="1"/>
    <col min="12" max="12" width="16.42578125" style="134" customWidth="1"/>
    <col min="13" max="16384" width="9.140625" style="134"/>
  </cols>
  <sheetData>
    <row r="1" spans="1:14" x14ac:dyDescent="0.25">
      <c r="A1" s="1116" t="s">
        <v>522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</row>
    <row r="2" spans="1:14" s="401" customFormat="1" ht="7.5" customHeight="1" x14ac:dyDescent="0.25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399"/>
    </row>
    <row r="3" spans="1:14" ht="28.5" customHeight="1" x14ac:dyDescent="0.25">
      <c r="A3" s="1090" t="s">
        <v>160</v>
      </c>
      <c r="B3" s="1092" t="s">
        <v>161</v>
      </c>
      <c r="C3" s="1093"/>
      <c r="D3" s="1094"/>
      <c r="E3" s="1092" t="s">
        <v>162</v>
      </c>
      <c r="F3" s="1093"/>
      <c r="G3" s="1093"/>
      <c r="H3" s="1093"/>
      <c r="I3" s="1093"/>
      <c r="J3" s="1093"/>
      <c r="K3" s="1094"/>
      <c r="L3" s="1090" t="s">
        <v>163</v>
      </c>
    </row>
    <row r="4" spans="1:14" x14ac:dyDescent="0.25">
      <c r="A4" s="1091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91"/>
    </row>
    <row r="5" spans="1:14" s="11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4" ht="89.25" x14ac:dyDescent="0.25">
      <c r="A6" s="130" t="s">
        <v>44</v>
      </c>
      <c r="B6" s="205">
        <f>№7!H7</f>
        <v>1873.1520000000005</v>
      </c>
      <c r="C6" s="205">
        <f>№7!H23</f>
        <v>12.809083641197049</v>
      </c>
      <c r="D6" s="205">
        <f>№7!H28</f>
        <v>0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205">
        <f>SUM(B6:K6)</f>
        <v>2034.7567690381793</v>
      </c>
      <c r="M6" s="165"/>
      <c r="N6" s="166"/>
    </row>
    <row r="7" spans="1:14" hidden="1" x14ac:dyDescent="0.25">
      <c r="L7" s="165">
        <v>2420.6968853855719</v>
      </c>
    </row>
    <row r="8" spans="1:14" hidden="1" x14ac:dyDescent="0.25">
      <c r="L8" s="173">
        <f>L7-L6</f>
        <v>385.94011634739263</v>
      </c>
    </row>
    <row r="18" spans="6:6" x14ac:dyDescent="0.25">
      <c r="F18" s="135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8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6" sqref="H2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0" style="60" hidden="1" customWidth="1"/>
    <col min="11" max="16384" width="8.85546875" style="60"/>
  </cols>
  <sheetData>
    <row r="1" spans="1:9" x14ac:dyDescent="0.25">
      <c r="A1" s="1078" t="s">
        <v>524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1099" t="s">
        <v>7</v>
      </c>
      <c r="B5" s="1100"/>
      <c r="C5" s="1100"/>
      <c r="D5" s="1100"/>
      <c r="E5" s="1100"/>
      <c r="F5" s="1100"/>
      <c r="G5" s="1100"/>
      <c r="H5" s="1100"/>
      <c r="I5" s="1101"/>
    </row>
    <row r="6" spans="1:9" ht="102" outlineLevel="1" x14ac:dyDescent="0.25">
      <c r="A6" s="491" t="s">
        <v>129</v>
      </c>
      <c r="B6" s="147" t="str">
        <f>№7!B6</f>
        <v>Основной персонал (ветеринарные и лабораторные специалисты)</v>
      </c>
      <c r="C6" s="872">
        <f>'ФВ РЦВК'!O13</f>
        <v>764</v>
      </c>
      <c r="D6" s="872">
        <f>'ФВ РЦВК'!G13</f>
        <v>382</v>
      </c>
      <c r="E6" s="883">
        <f>C6/D6</f>
        <v>2</v>
      </c>
      <c r="F6" s="872">
        <f>№7!F6</f>
        <v>49567.094099296366</v>
      </c>
      <c r="G6" s="872">
        <f>№7!G6</f>
        <v>260.16000000000003</v>
      </c>
      <c r="H6" s="150">
        <f>E6*G6</f>
        <v>520.32000000000005</v>
      </c>
      <c r="I6" s="151" t="str">
        <f>№7!I6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98" t="s">
        <v>8</v>
      </c>
      <c r="B7" s="1098"/>
      <c r="C7" s="1098"/>
      <c r="D7" s="1098"/>
      <c r="E7" s="1098"/>
      <c r="F7" s="1098"/>
      <c r="G7" s="1098"/>
      <c r="H7" s="483">
        <f>SUM(H6:H6)</f>
        <v>520.32000000000005</v>
      </c>
      <c r="I7" s="496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484">
        <v>1</v>
      </c>
      <c r="B9" s="484">
        <v>2</v>
      </c>
      <c r="C9" s="484">
        <v>3</v>
      </c>
      <c r="D9" s="484">
        <v>4</v>
      </c>
      <c r="E9" s="484" t="s">
        <v>5</v>
      </c>
      <c r="F9" s="484">
        <v>6</v>
      </c>
      <c r="G9" s="484">
        <v>7</v>
      </c>
      <c r="H9" s="484" t="s">
        <v>12</v>
      </c>
      <c r="I9" s="484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outlineLevel="1" x14ac:dyDescent="0.25">
      <c r="A11" s="485">
        <v>1</v>
      </c>
      <c r="B11" s="147" t="s">
        <v>940</v>
      </c>
      <c r="C11" s="148">
        <f>'МЗ РЦВК'!$C$51*'МЗ РЦВК'!D5</f>
        <v>248</v>
      </c>
      <c r="D11" s="554">
        <f>№7!D11</f>
        <v>265212.859</v>
      </c>
      <c r="E11" s="486">
        <f t="shared" ref="E11:E17" si="0">C11/D11</f>
        <v>9.3509794711726252E-4</v>
      </c>
      <c r="F11" s="486">
        <v>1</v>
      </c>
      <c r="G11" s="148">
        <f>SUMIF('МЗ РЦВК'!$B$5:$B$45,$B11,'МЗ РЦВК'!$C$5:$C$45)</f>
        <v>700</v>
      </c>
      <c r="H11" s="488">
        <f>E11*G11/F11</f>
        <v>0.65456856298208377</v>
      </c>
      <c r="I11" s="1095" t="s">
        <v>348</v>
      </c>
    </row>
    <row r="12" spans="1:9" ht="30" outlineLevel="1" x14ac:dyDescent="0.25">
      <c r="A12" s="485">
        <v>2</v>
      </c>
      <c r="B12" s="147" t="s">
        <v>941</v>
      </c>
      <c r="C12" s="148">
        <f>'МЗ РЦВК'!$C$51*'МЗ РЦВК'!D6</f>
        <v>248</v>
      </c>
      <c r="D12" s="555">
        <f t="shared" ref="D12:D17" si="1">$D$11</f>
        <v>265212.859</v>
      </c>
      <c r="E12" s="486">
        <f t="shared" si="0"/>
        <v>9.3509794711726252E-4</v>
      </c>
      <c r="F12" s="486">
        <v>1</v>
      </c>
      <c r="G12" s="148">
        <f>SUMIF('МЗ РЦВК'!$B$5:$B$45,$B12,'МЗ РЦВК'!$C$5:$C$45)</f>
        <v>1400</v>
      </c>
      <c r="H12" s="488">
        <f t="shared" ref="H12:H21" si="2">E12*G12/F12</f>
        <v>1.3091371259641675</v>
      </c>
      <c r="I12" s="1095"/>
    </row>
    <row r="13" spans="1:9" outlineLevel="1" x14ac:dyDescent="0.25">
      <c r="A13" s="485">
        <v>3</v>
      </c>
      <c r="B13" s="147" t="s">
        <v>942</v>
      </c>
      <c r="C13" s="148">
        <f>'МЗ РЦВК'!$C$51*'МЗ РЦВК'!D7</f>
        <v>124</v>
      </c>
      <c r="D13" s="555">
        <f t="shared" si="1"/>
        <v>265212.859</v>
      </c>
      <c r="E13" s="486">
        <f t="shared" si="0"/>
        <v>4.6754897355863126E-4</v>
      </c>
      <c r="F13" s="486">
        <v>2</v>
      </c>
      <c r="G13" s="148">
        <f>SUMIF('МЗ РЦВК'!$B$5:$B$45,$B13,'МЗ РЦВК'!$C$5:$C$45)</f>
        <v>260</v>
      </c>
      <c r="H13" s="488">
        <f t="shared" si="2"/>
        <v>6.0781366562622063E-2</v>
      </c>
      <c r="I13" s="1095"/>
    </row>
    <row r="14" spans="1:9" ht="30" outlineLevel="1" x14ac:dyDescent="0.25">
      <c r="A14" s="485">
        <v>4</v>
      </c>
      <c r="B14" s="147" t="s">
        <v>955</v>
      </c>
      <c r="C14" s="148">
        <f>'МЗ РЦВК'!C48*'МЗ РЦВК'!D8</f>
        <v>80</v>
      </c>
      <c r="D14" s="555">
        <f t="shared" si="1"/>
        <v>265212.859</v>
      </c>
      <c r="E14" s="566">
        <f t="shared" si="0"/>
        <v>3.0164449907008468E-4</v>
      </c>
      <c r="F14" s="486">
        <v>2</v>
      </c>
      <c r="G14" s="148">
        <f>SUMIF('МЗ РЦВК'!$B$5:$B$45,$B14,'МЗ РЦВК'!$C$5:$C$45)</f>
        <v>980</v>
      </c>
      <c r="H14" s="488">
        <f t="shared" si="2"/>
        <v>0.1478058045443415</v>
      </c>
      <c r="I14" s="1095"/>
    </row>
    <row r="15" spans="1:9" outlineLevel="1" x14ac:dyDescent="0.25">
      <c r="A15" s="485">
        <v>5</v>
      </c>
      <c r="B15" s="147" t="s">
        <v>943</v>
      </c>
      <c r="C15" s="148">
        <f>'МЗ РЦВК'!C50*'МЗ РЦВК'!D9</f>
        <v>54</v>
      </c>
      <c r="D15" s="555">
        <f t="shared" si="1"/>
        <v>265212.859</v>
      </c>
      <c r="E15" s="486">
        <f t="shared" ref="E15" si="3">C15/D15</f>
        <v>2.0361003687230717E-4</v>
      </c>
      <c r="F15" s="486">
        <v>1</v>
      </c>
      <c r="G15" s="148">
        <f>SUMIF('МЗ РЦВК'!$B$5:$B$45,$B15,'МЗ РЦВК'!$C$5:$C$45)</f>
        <v>61</v>
      </c>
      <c r="H15" s="488">
        <f t="shared" si="2"/>
        <v>1.2420212249210737E-2</v>
      </c>
      <c r="I15" s="1095"/>
    </row>
    <row r="16" spans="1:9" outlineLevel="1" x14ac:dyDescent="0.25">
      <c r="A16" s="485">
        <v>6</v>
      </c>
      <c r="B16" s="147" t="s">
        <v>149</v>
      </c>
      <c r="C16" s="148">
        <f>'МЗ РЦВК'!$C$51*'МЗ РЦВК'!D10</f>
        <v>496</v>
      </c>
      <c r="D16" s="555">
        <f t="shared" si="1"/>
        <v>265212.859</v>
      </c>
      <c r="E16" s="486">
        <f t="shared" si="0"/>
        <v>1.870195894234525E-3</v>
      </c>
      <c r="F16" s="486">
        <v>1</v>
      </c>
      <c r="G16" s="148">
        <f>SUMIF('МЗ РЦВК'!$B$5:$B$45,$B16,'МЗ РЦВК'!$C$5:$C$45)</f>
        <v>55</v>
      </c>
      <c r="H16" s="488">
        <f t="shared" si="2"/>
        <v>0.10286077418289888</v>
      </c>
      <c r="I16" s="1095"/>
    </row>
    <row r="17" spans="1:10" outlineLevel="1" x14ac:dyDescent="0.25">
      <c r="A17" s="485">
        <v>7</v>
      </c>
      <c r="B17" s="147" t="s">
        <v>150</v>
      </c>
      <c r="C17" s="148">
        <f>'МЗ РЦВК'!$C$51*'МЗ РЦВК'!D11</f>
        <v>992</v>
      </c>
      <c r="D17" s="555">
        <f t="shared" si="1"/>
        <v>265212.859</v>
      </c>
      <c r="E17" s="486">
        <f t="shared" si="0"/>
        <v>3.7403917884690501E-3</v>
      </c>
      <c r="F17" s="486">
        <v>1</v>
      </c>
      <c r="G17" s="148">
        <f>SUMIF('МЗ РЦВК'!$B$5:$B$45,$B17,'МЗ РЦВК'!$C$5:$C$45)</f>
        <v>25</v>
      </c>
      <c r="H17" s="488">
        <f t="shared" si="2"/>
        <v>9.3509794711726255E-2</v>
      </c>
      <c r="I17" s="1095"/>
    </row>
    <row r="18" spans="1:10" ht="30" outlineLevel="1" x14ac:dyDescent="0.25">
      <c r="A18" s="485">
        <v>8</v>
      </c>
      <c r="B18" s="475" t="s">
        <v>101</v>
      </c>
      <c r="C18" s="148">
        <v>227</v>
      </c>
      <c r="D18" s="481">
        <f>$D$6</f>
        <v>382</v>
      </c>
      <c r="E18" s="566">
        <f>C18/D18</f>
        <v>0.59424083769633507</v>
      </c>
      <c r="F18" s="486">
        <v>1</v>
      </c>
      <c r="G18" s="148">
        <f>SUMIF('МЗ РЦВК'!$B$5:$B$45,$B18,'МЗ РЦВК'!$C$5:$C$45)</f>
        <v>3.13</v>
      </c>
      <c r="H18" s="488">
        <f>E18*G18/F18</f>
        <v>1.8599738219895288</v>
      </c>
      <c r="I18" s="1095"/>
      <c r="J18" s="631">
        <f>H18*D18</f>
        <v>710.51</v>
      </c>
    </row>
    <row r="19" spans="1:10" outlineLevel="1" x14ac:dyDescent="0.25">
      <c r="A19" s="485">
        <v>9</v>
      </c>
      <c r="B19" s="475" t="s">
        <v>351</v>
      </c>
      <c r="C19" s="148">
        <f>$D$6-C18</f>
        <v>155</v>
      </c>
      <c r="D19" s="481">
        <f>$D$6</f>
        <v>382</v>
      </c>
      <c r="E19" s="566">
        <f>C19/D19</f>
        <v>0.40575916230366493</v>
      </c>
      <c r="F19" s="486">
        <v>1</v>
      </c>
      <c r="G19" s="148">
        <f>SUMIF('МЗ РЦВК'!$B$5:$B$45,$B19,'МЗ РЦВК'!$C$5:$C$45)</f>
        <v>2.0299999999999998</v>
      </c>
      <c r="H19" s="488">
        <f>E19*G19/F19</f>
        <v>0.8236910994764397</v>
      </c>
      <c r="I19" s="1095"/>
      <c r="J19" s="631">
        <f>H19*D19</f>
        <v>314.64999999999998</v>
      </c>
    </row>
    <row r="20" spans="1:10" outlineLevel="1" x14ac:dyDescent="0.25">
      <c r="A20" s="485">
        <v>10</v>
      </c>
      <c r="B20" s="475" t="s">
        <v>363</v>
      </c>
      <c r="C20" s="148">
        <f>$D$6*0.2</f>
        <v>76.400000000000006</v>
      </c>
      <c r="D20" s="481">
        <f>$D$6</f>
        <v>382</v>
      </c>
      <c r="E20" s="632">
        <f>C20/D20</f>
        <v>0.2</v>
      </c>
      <c r="F20" s="486">
        <v>1</v>
      </c>
      <c r="G20" s="148">
        <f>SUMIF('МЗ РЦВК'!$B$5:$B$45,$B20,'МЗ РЦВК'!$C$5:$C$45)</f>
        <v>0.39</v>
      </c>
      <c r="H20" s="488">
        <f>E20*G20/F20</f>
        <v>7.8000000000000014E-2</v>
      </c>
      <c r="I20" s="1095"/>
      <c r="J20" s="631">
        <f>H20*D20</f>
        <v>29.796000000000006</v>
      </c>
    </row>
    <row r="21" spans="1:10" outlineLevel="1" x14ac:dyDescent="0.25">
      <c r="A21" s="485">
        <v>11</v>
      </c>
      <c r="B21" s="475" t="s">
        <v>393</v>
      </c>
      <c r="C21" s="148">
        <f>$D$6*1</f>
        <v>382</v>
      </c>
      <c r="D21" s="481">
        <f>$D$6</f>
        <v>382</v>
      </c>
      <c r="E21" s="628">
        <f>C21/D21</f>
        <v>1</v>
      </c>
      <c r="F21" s="486">
        <v>1</v>
      </c>
      <c r="G21" s="148">
        <f>SUMIF('МЗ РЦВК'!$B$5:$B$45,$B21,'МЗ РЦВК'!$C$5:$C$45)</f>
        <v>3.7</v>
      </c>
      <c r="H21" s="488">
        <f t="shared" si="2"/>
        <v>3.7</v>
      </c>
      <c r="I21" s="1095"/>
      <c r="J21" s="631">
        <f>H21*D21</f>
        <v>1413.4</v>
      </c>
    </row>
    <row r="22" spans="1:10" x14ac:dyDescent="0.25">
      <c r="A22" s="1096" t="s">
        <v>14</v>
      </c>
      <c r="B22" s="1096"/>
      <c r="C22" s="1096"/>
      <c r="D22" s="1096"/>
      <c r="E22" s="1096"/>
      <c r="F22" s="1096"/>
      <c r="G22" s="1096"/>
      <c r="H22" s="483">
        <f>SUM(H11:H21)</f>
        <v>8.8427485626630187</v>
      </c>
      <c r="I22" s="1095"/>
      <c r="J22" s="631">
        <f>SUM(J18:J21)</f>
        <v>2468.3559999999998</v>
      </c>
    </row>
    <row r="23" spans="1:10" s="123" customFormat="1" ht="67.5" x14ac:dyDescent="0.25">
      <c r="A23" s="141" t="s">
        <v>0</v>
      </c>
      <c r="B23" s="141" t="s">
        <v>9</v>
      </c>
      <c r="C23" s="637" t="s">
        <v>1278</v>
      </c>
      <c r="D23" s="141" t="s">
        <v>123</v>
      </c>
      <c r="E23" s="141" t="s">
        <v>10</v>
      </c>
      <c r="F23" s="141" t="s">
        <v>15</v>
      </c>
      <c r="G23" s="141" t="s">
        <v>939</v>
      </c>
      <c r="H23" s="141" t="s">
        <v>347</v>
      </c>
      <c r="I23" s="141" t="s">
        <v>4</v>
      </c>
    </row>
    <row r="24" spans="1:10" s="123" customFormat="1" ht="11.25" x14ac:dyDescent="0.25">
      <c r="A24" s="8">
        <v>1</v>
      </c>
      <c r="B24" s="8">
        <v>2</v>
      </c>
      <c r="C24" s="8">
        <v>3</v>
      </c>
      <c r="D24" s="8">
        <v>4</v>
      </c>
      <c r="E24" s="8" t="s">
        <v>5</v>
      </c>
      <c r="F24" s="8">
        <v>6</v>
      </c>
      <c r="G24" s="8">
        <v>7</v>
      </c>
      <c r="H24" s="8" t="s">
        <v>12</v>
      </c>
      <c r="I24" s="8">
        <v>9</v>
      </c>
    </row>
    <row r="25" spans="1:10" x14ac:dyDescent="0.25">
      <c r="A25" s="1117" t="s">
        <v>16</v>
      </c>
      <c r="B25" s="1117"/>
      <c r="C25" s="1117"/>
      <c r="D25" s="1117"/>
      <c r="E25" s="1117"/>
      <c r="F25" s="1117"/>
      <c r="G25" s="1117"/>
      <c r="H25" s="1117"/>
      <c r="I25" s="1117"/>
    </row>
    <row r="26" spans="1:10" outlineLevel="1" x14ac:dyDescent="0.25">
      <c r="A26" s="19">
        <v>1</v>
      </c>
      <c r="B26" s="124" t="s">
        <v>317</v>
      </c>
      <c r="C26" s="148">
        <f>$D$6*E26</f>
        <v>382</v>
      </c>
      <c r="D26" s="481">
        <f>$D$6</f>
        <v>382</v>
      </c>
      <c r="E26" s="43">
        <v>1</v>
      </c>
      <c r="F26" s="43">
        <v>1</v>
      </c>
      <c r="G26" s="121">
        <f>№6!G22</f>
        <v>0.5</v>
      </c>
      <c r="H26" s="150">
        <f>C26/D26*G26</f>
        <v>0.5</v>
      </c>
      <c r="I26" s="1118" t="str">
        <f>№6!I22</f>
        <v>стоимость 1 пачки  250 руб, 500 листов</v>
      </c>
    </row>
    <row r="27" spans="1:10" ht="15" customHeight="1" x14ac:dyDescent="0.25">
      <c r="A27" s="1120" t="s">
        <v>17</v>
      </c>
      <c r="B27" s="1121"/>
      <c r="C27" s="1121"/>
      <c r="D27" s="1121"/>
      <c r="E27" s="1121"/>
      <c r="F27" s="1121"/>
      <c r="G27" s="1122"/>
      <c r="H27" s="122">
        <f>SUM(H26:H26)</f>
        <v>0.5</v>
      </c>
      <c r="I27" s="1119"/>
    </row>
    <row r="28" spans="1:10" x14ac:dyDescent="0.25">
      <c r="A28" s="1127" t="s">
        <v>18</v>
      </c>
      <c r="B28" s="1128"/>
      <c r="C28" s="1128"/>
      <c r="D28" s="1128"/>
      <c r="E28" s="1128"/>
      <c r="F28" s="1128"/>
      <c r="G28" s="1129"/>
      <c r="H28" s="398">
        <f>H27+H22+H7</f>
        <v>529.66274856266307</v>
      </c>
      <c r="I28" s="43"/>
    </row>
  </sheetData>
  <mergeCells count="11">
    <mergeCell ref="A1:I1"/>
    <mergeCell ref="A25:I25"/>
    <mergeCell ref="I26:I27"/>
    <mergeCell ref="A27:G27"/>
    <mergeCell ref="A28:G28"/>
    <mergeCell ref="A5:I5"/>
    <mergeCell ref="A7:G7"/>
    <mergeCell ref="A10:I10"/>
    <mergeCell ref="A22:G22"/>
    <mergeCell ref="I11:I17"/>
    <mergeCell ref="I18:I22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523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102" x14ac:dyDescent="0.25">
      <c r="A6" s="130" t="s">
        <v>187</v>
      </c>
      <c r="B6" s="131">
        <f>№8!H7</f>
        <v>520.32000000000005</v>
      </c>
      <c r="C6" s="131">
        <f>№8!H22</f>
        <v>8.8427485626630187</v>
      </c>
      <c r="D6" s="131">
        <f>№8!H27</f>
        <v>0.5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31">
        <f>SUM(B6:K6)</f>
        <v>678.45843395964482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7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5" sqref="H25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9.42578125" style="60" hidden="1" customWidth="1"/>
    <col min="11" max="16384" width="8.85546875" style="60"/>
  </cols>
  <sheetData>
    <row r="1" spans="1:9" x14ac:dyDescent="0.25">
      <c r="A1" s="1078" t="s">
        <v>1279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448" t="s">
        <v>129</v>
      </c>
      <c r="B6" s="147" t="str">
        <f>№8!B6</f>
        <v>Основной персонал (ветеринарные и лабораторные специалисты)</v>
      </c>
      <c r="C6" s="506">
        <f>'ФВ РЦВК'!O14</f>
        <v>5.64</v>
      </c>
      <c r="D6" s="508">
        <f>'ФВ РЦВК'!G14</f>
        <v>12</v>
      </c>
      <c r="E6" s="43">
        <f>C6/D6</f>
        <v>0.47</v>
      </c>
      <c r="F6" s="506">
        <f>№8!F6</f>
        <v>49567.094099296366</v>
      </c>
      <c r="G6" s="508">
        <f>№8!G6</f>
        <v>260.16000000000003</v>
      </c>
      <c r="H6" s="150">
        <f>E6*G6</f>
        <v>122.2752</v>
      </c>
      <c r="I6" s="151" t="str">
        <f>№8!I6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122.2752</v>
      </c>
      <c r="I7" s="446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102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20" si="2">E12*G12/F12</f>
        <v>1.3091371259641675</v>
      </c>
      <c r="I12" s="1103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103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103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103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103"/>
    </row>
    <row r="17" spans="1:10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104"/>
    </row>
    <row r="18" spans="1:10" outlineLevel="1" x14ac:dyDescent="0.25">
      <c r="A18" s="19">
        <v>8</v>
      </c>
      <c r="B18" s="190" t="s">
        <v>393</v>
      </c>
      <c r="C18" s="148">
        <f>$D$6*1</f>
        <v>12</v>
      </c>
      <c r="D18" s="192">
        <f>$D$6</f>
        <v>12</v>
      </c>
      <c r="E18" s="191">
        <f>C18/D18</f>
        <v>1</v>
      </c>
      <c r="F18" s="191">
        <v>1</v>
      </c>
      <c r="G18" s="148">
        <f>SUMIF('МЗ РЦВК'!$B$5:$B$45,$B18,'МЗ РЦВК'!$C$5:$C$45)</f>
        <v>3.7</v>
      </c>
      <c r="H18" s="121">
        <f t="shared" si="2"/>
        <v>3.7</v>
      </c>
      <c r="I18" s="1102"/>
      <c r="J18" s="60">
        <f>H18*D18</f>
        <v>44.400000000000006</v>
      </c>
    </row>
    <row r="19" spans="1:10" outlineLevel="1" x14ac:dyDescent="0.25">
      <c r="A19" s="19">
        <v>9</v>
      </c>
      <c r="B19" s="54" t="s">
        <v>394</v>
      </c>
      <c r="C19" s="148">
        <f>$D$6*1</f>
        <v>12</v>
      </c>
      <c r="D19" s="192">
        <f t="shared" ref="D19:D20" si="3">$D$6</f>
        <v>12</v>
      </c>
      <c r="E19" s="43">
        <f>C19/D19</f>
        <v>1</v>
      </c>
      <c r="F19" s="43">
        <v>1</v>
      </c>
      <c r="G19" s="148">
        <f>SUMIF('МЗ РЦВК'!$B$5:$B$45,$B19,'МЗ РЦВК'!$C$5:$C$45)</f>
        <v>5.4</v>
      </c>
      <c r="H19" s="121">
        <f t="shared" si="2"/>
        <v>5.4</v>
      </c>
      <c r="I19" s="1103"/>
      <c r="J19" s="60">
        <f t="shared" ref="J19:J20" si="4">H19*D19</f>
        <v>64.800000000000011</v>
      </c>
    </row>
    <row r="20" spans="1:10" outlineLevel="1" x14ac:dyDescent="0.25">
      <c r="A20" s="19">
        <v>10</v>
      </c>
      <c r="B20" s="54" t="s">
        <v>395</v>
      </c>
      <c r="C20" s="148">
        <f>$D$6*1</f>
        <v>12</v>
      </c>
      <c r="D20" s="192">
        <f t="shared" si="3"/>
        <v>12</v>
      </c>
      <c r="E20" s="43">
        <f>C20/D20</f>
        <v>1</v>
      </c>
      <c r="F20" s="43">
        <v>1</v>
      </c>
      <c r="G20" s="148">
        <f>SUMIF('МЗ РЦВК'!$B$5:$B$45,$B20,'МЗ РЦВК'!$C$5:$C$45)</f>
        <v>5.93</v>
      </c>
      <c r="H20" s="121">
        <f t="shared" si="2"/>
        <v>5.93</v>
      </c>
      <c r="I20" s="1103"/>
      <c r="J20" s="60">
        <f t="shared" si="4"/>
        <v>71.16</v>
      </c>
    </row>
    <row r="21" spans="1:10" x14ac:dyDescent="0.25">
      <c r="A21" s="1120" t="s">
        <v>14</v>
      </c>
      <c r="B21" s="1121"/>
      <c r="C21" s="1121"/>
      <c r="D21" s="1121"/>
      <c r="E21" s="1121"/>
      <c r="F21" s="1121"/>
      <c r="G21" s="1122"/>
      <c r="H21" s="122">
        <f>SUM(H11:H20)</f>
        <v>17.411083641197052</v>
      </c>
      <c r="I21" s="1104"/>
      <c r="J21" s="60">
        <f>SUM(J18:J20)</f>
        <v>180.36</v>
      </c>
    </row>
    <row r="22" spans="1:10" s="123" customFormat="1" ht="67.5" x14ac:dyDescent="0.25">
      <c r="A22" s="141" t="s">
        <v>0</v>
      </c>
      <c r="B22" s="141" t="s">
        <v>9</v>
      </c>
      <c r="C22" s="11" t="s">
        <v>1278</v>
      </c>
      <c r="D22" s="141" t="s">
        <v>123</v>
      </c>
      <c r="E22" s="141" t="s">
        <v>10</v>
      </c>
      <c r="F22" s="141" t="s">
        <v>15</v>
      </c>
      <c r="G22" s="141" t="s">
        <v>939</v>
      </c>
      <c r="H22" s="141" t="s">
        <v>347</v>
      </c>
      <c r="I22" s="141" t="s">
        <v>4</v>
      </c>
    </row>
    <row r="23" spans="1:10" s="123" customFormat="1" ht="11.25" x14ac:dyDescent="0.25">
      <c r="A23" s="8">
        <v>1</v>
      </c>
      <c r="B23" s="8">
        <v>2</v>
      </c>
      <c r="C23" s="8">
        <v>3</v>
      </c>
      <c r="D23" s="8">
        <v>4</v>
      </c>
      <c r="E23" s="8" t="s">
        <v>5</v>
      </c>
      <c r="F23" s="8">
        <v>6</v>
      </c>
      <c r="G23" s="8">
        <v>7</v>
      </c>
      <c r="H23" s="8" t="s">
        <v>12</v>
      </c>
      <c r="I23" s="8">
        <v>9</v>
      </c>
    </row>
    <row r="24" spans="1:10" x14ac:dyDescent="0.25">
      <c r="A24" s="1117" t="s">
        <v>16</v>
      </c>
      <c r="B24" s="1117"/>
      <c r="C24" s="1117"/>
      <c r="D24" s="1117"/>
      <c r="E24" s="1117"/>
      <c r="F24" s="1117"/>
      <c r="G24" s="1117"/>
      <c r="H24" s="1117"/>
      <c r="I24" s="1117"/>
    </row>
    <row r="25" spans="1:10" ht="15" customHeight="1" outlineLevel="1" x14ac:dyDescent="0.25">
      <c r="A25" s="19">
        <v>1</v>
      </c>
      <c r="B25" s="124" t="s">
        <v>317</v>
      </c>
      <c r="C25" s="148">
        <f>$D$6*E25</f>
        <v>12</v>
      </c>
      <c r="D25" s="192">
        <v>12</v>
      </c>
      <c r="E25" s="43">
        <v>1</v>
      </c>
      <c r="F25" s="43">
        <v>1</v>
      </c>
      <c r="G25" s="121">
        <f>№8!G26</f>
        <v>0.5</v>
      </c>
      <c r="H25" s="150">
        <f>C25/D25*G25</f>
        <v>0.5</v>
      </c>
      <c r="I25" s="1118" t="str">
        <f>№8!I26</f>
        <v>стоимость 1 пачки  250 руб, 500 листов</v>
      </c>
    </row>
    <row r="26" spans="1:10" ht="15" customHeight="1" x14ac:dyDescent="0.25">
      <c r="A26" s="1120" t="s">
        <v>17</v>
      </c>
      <c r="B26" s="1121"/>
      <c r="C26" s="1121"/>
      <c r="D26" s="1121"/>
      <c r="E26" s="1121"/>
      <c r="F26" s="1121"/>
      <c r="G26" s="1122"/>
      <c r="H26" s="122">
        <f>SUM(H25:H25)</f>
        <v>0.5</v>
      </c>
      <c r="I26" s="1119"/>
    </row>
    <row r="27" spans="1:10" x14ac:dyDescent="0.25">
      <c r="A27" s="1127" t="s">
        <v>18</v>
      </c>
      <c r="B27" s="1128"/>
      <c r="C27" s="1128"/>
      <c r="D27" s="1128"/>
      <c r="E27" s="1128"/>
      <c r="F27" s="1128"/>
      <c r="G27" s="1129"/>
      <c r="H27" s="498">
        <f>H26+H21+H7</f>
        <v>140.18628364119706</v>
      </c>
      <c r="I27" s="43"/>
    </row>
  </sheetData>
  <mergeCells count="10">
    <mergeCell ref="A1:I1"/>
    <mergeCell ref="A24:I24"/>
    <mergeCell ref="I25:I26"/>
    <mergeCell ref="A26:G26"/>
    <mergeCell ref="A27:G27"/>
    <mergeCell ref="A7:G7"/>
    <mergeCell ref="A10:I10"/>
    <mergeCell ref="A21:G21"/>
    <mergeCell ref="I11:I17"/>
    <mergeCell ref="I18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089" t="s">
        <v>525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2" ht="7.5" customHeight="1" x14ac:dyDescent="0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5"/>
    </row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76.5" x14ac:dyDescent="0.25">
      <c r="A6" s="130" t="s">
        <v>174</v>
      </c>
      <c r="B6" s="131">
        <f>№9!H7</f>
        <v>122.2752</v>
      </c>
      <c r="C6" s="131">
        <f>№9!H21</f>
        <v>17.411083641197052</v>
      </c>
      <c r="D6" s="131">
        <f>№9!H26</f>
        <v>0.5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31">
        <f>SUM(B6:K6)</f>
        <v>288.98196903817882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6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J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6" style="60" hidden="1" customWidth="1"/>
    <col min="11" max="11" width="14.5703125" style="60" customWidth="1"/>
    <col min="12" max="16384" width="8.85546875" style="60"/>
  </cols>
  <sheetData>
    <row r="1" spans="1:10" x14ac:dyDescent="0.25">
      <c r="A1" s="1078" t="s">
        <v>526</v>
      </c>
      <c r="B1" s="1078"/>
      <c r="C1" s="1078"/>
      <c r="D1" s="1078"/>
      <c r="E1" s="1078"/>
      <c r="F1" s="1078"/>
      <c r="G1" s="1078"/>
      <c r="H1" s="1078"/>
      <c r="I1" s="1078"/>
    </row>
    <row r="2" spans="1:10" ht="6" customHeight="1" x14ac:dyDescent="0.25"/>
    <row r="3" spans="1:10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0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634" t="s">
        <v>7</v>
      </c>
      <c r="B5" s="635"/>
      <c r="C5" s="635"/>
      <c r="D5" s="635"/>
      <c r="E5" s="635"/>
      <c r="F5" s="635"/>
      <c r="G5" s="635"/>
      <c r="H5" s="635"/>
      <c r="I5" s="636"/>
    </row>
    <row r="6" spans="1:10" ht="102" outlineLevel="1" x14ac:dyDescent="0.25">
      <c r="A6" s="449" t="s">
        <v>122</v>
      </c>
      <c r="B6" s="147" t="str">
        <f>№9!B6</f>
        <v>Основной персонал (ветеринарные и лабораторные специалисты)</v>
      </c>
      <c r="C6" s="506">
        <f>'ФВ РЦВК'!O15</f>
        <v>40565</v>
      </c>
      <c r="D6" s="506">
        <f>'ФВ РЦВК'!G15</f>
        <v>30500</v>
      </c>
      <c r="E6" s="43">
        <f>C6/D6</f>
        <v>1.33</v>
      </c>
      <c r="F6" s="506">
        <f>№9!F6</f>
        <v>49567.094099296366</v>
      </c>
      <c r="G6" s="506">
        <f>№9!G6</f>
        <v>260.16000000000003</v>
      </c>
      <c r="H6" s="150">
        <f>E6*G6</f>
        <v>346.01280000000003</v>
      </c>
      <c r="I6" s="151" t="str">
        <f>№9!I6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  <c r="J6" s="59"/>
    </row>
    <row r="7" spans="1:10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346.01280000000003</v>
      </c>
      <c r="I7" s="446"/>
    </row>
    <row r="8" spans="1:10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10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0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10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102" t="s">
        <v>348</v>
      </c>
    </row>
    <row r="12" spans="1:10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103"/>
    </row>
    <row r="13" spans="1:10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103"/>
    </row>
    <row r="14" spans="1:10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103"/>
    </row>
    <row r="15" spans="1:10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103"/>
    </row>
    <row r="16" spans="1:10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103"/>
    </row>
    <row r="17" spans="1:10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104"/>
    </row>
    <row r="18" spans="1:10" outlineLevel="1" x14ac:dyDescent="0.25">
      <c r="A18" s="19">
        <v>8</v>
      </c>
      <c r="B18" s="54" t="s">
        <v>393</v>
      </c>
      <c r="C18" s="148">
        <f>$D$6</f>
        <v>30500</v>
      </c>
      <c r="D18" s="44">
        <f>$D$6</f>
        <v>30500</v>
      </c>
      <c r="E18" s="43">
        <f>C18/D18</f>
        <v>1</v>
      </c>
      <c r="F18" s="43">
        <v>1</v>
      </c>
      <c r="G18" s="148">
        <f>SUMIF('МЗ РЦВК'!$B$5:$B$45,$B18,'МЗ РЦВК'!$C$5:$C$45)</f>
        <v>3.7</v>
      </c>
      <c r="H18" s="121">
        <f t="shared" ref="H18:H19" si="3">E18*G18/F18</f>
        <v>3.7</v>
      </c>
      <c r="I18" s="1102"/>
      <c r="J18" s="631">
        <f>H18*D18</f>
        <v>112850</v>
      </c>
    </row>
    <row r="19" spans="1:10" outlineLevel="1" x14ac:dyDescent="0.25">
      <c r="A19" s="19">
        <v>9</v>
      </c>
      <c r="B19" s="54" t="s">
        <v>945</v>
      </c>
      <c r="C19" s="148">
        <f>$D$6</f>
        <v>30500</v>
      </c>
      <c r="D19" s="44">
        <f>$D$6</f>
        <v>30500</v>
      </c>
      <c r="E19" s="43">
        <f>C19/D19</f>
        <v>1</v>
      </c>
      <c r="F19" s="43">
        <v>1</v>
      </c>
      <c r="G19" s="148">
        <f>SUMIF('МЗ РЦВК'!$B$5:$B$45,$B19,'МЗ РЦВК'!$C$5:$C$45)</f>
        <v>3.2</v>
      </c>
      <c r="H19" s="121">
        <f t="shared" si="3"/>
        <v>3.2</v>
      </c>
      <c r="I19" s="1103"/>
      <c r="J19" s="631">
        <f>H19*D19</f>
        <v>97600</v>
      </c>
    </row>
    <row r="20" spans="1:10" x14ac:dyDescent="0.25">
      <c r="A20" s="1120" t="s">
        <v>14</v>
      </c>
      <c r="B20" s="1121"/>
      <c r="C20" s="1121"/>
      <c r="D20" s="1121"/>
      <c r="E20" s="1121"/>
      <c r="F20" s="1121"/>
      <c r="G20" s="1122"/>
      <c r="H20" s="122">
        <f>SUM(H11:H19)</f>
        <v>9.2810836411970499</v>
      </c>
      <c r="I20" s="1104"/>
      <c r="J20" s="631">
        <f>SUM(J18:J19)</f>
        <v>210450</v>
      </c>
    </row>
    <row r="21" spans="1:10" s="123" customFormat="1" ht="67.5" x14ac:dyDescent="0.25">
      <c r="A21" s="141" t="s">
        <v>0</v>
      </c>
      <c r="B21" s="141" t="s">
        <v>9</v>
      </c>
      <c r="C21" s="637" t="s">
        <v>1278</v>
      </c>
      <c r="D21" s="141" t="s">
        <v>123</v>
      </c>
      <c r="E21" s="141" t="s">
        <v>10</v>
      </c>
      <c r="F21" s="141" t="s">
        <v>15</v>
      </c>
      <c r="G21" s="141" t="s">
        <v>939</v>
      </c>
      <c r="H21" s="141" t="s">
        <v>347</v>
      </c>
      <c r="I21" s="141" t="s">
        <v>4</v>
      </c>
    </row>
    <row r="22" spans="1:10" s="123" customFormat="1" ht="11.25" x14ac:dyDescent="0.25">
      <c r="A22" s="8">
        <v>1</v>
      </c>
      <c r="B22" s="8">
        <v>2</v>
      </c>
      <c r="C22" s="8">
        <v>3</v>
      </c>
      <c r="D22" s="8">
        <v>4</v>
      </c>
      <c r="E22" s="8" t="s">
        <v>5</v>
      </c>
      <c r="F22" s="8">
        <v>6</v>
      </c>
      <c r="G22" s="8">
        <v>7</v>
      </c>
      <c r="H22" s="8" t="s">
        <v>12</v>
      </c>
      <c r="I22" s="8">
        <v>9</v>
      </c>
    </row>
    <row r="23" spans="1:10" x14ac:dyDescent="0.25">
      <c r="A23" s="1117" t="s">
        <v>16</v>
      </c>
      <c r="B23" s="1117"/>
      <c r="C23" s="1117"/>
      <c r="D23" s="1117"/>
      <c r="E23" s="1117"/>
      <c r="F23" s="1117"/>
      <c r="G23" s="1117"/>
      <c r="H23" s="1117"/>
      <c r="I23" s="1117"/>
    </row>
    <row r="24" spans="1:10" outlineLevel="1" x14ac:dyDescent="0.25">
      <c r="A24" s="19">
        <v>1</v>
      </c>
      <c r="B24" s="124" t="s">
        <v>317</v>
      </c>
      <c r="C24" s="148">
        <f>$D$6*E24</f>
        <v>91500</v>
      </c>
      <c r="D24" s="44">
        <f>$D$6</f>
        <v>30500</v>
      </c>
      <c r="E24" s="43">
        <f>3</f>
        <v>3</v>
      </c>
      <c r="F24" s="43">
        <v>1</v>
      </c>
      <c r="G24" s="121">
        <f>№9!G25</f>
        <v>0.5</v>
      </c>
      <c r="H24" s="150">
        <f>C24/D24*G24</f>
        <v>1.5</v>
      </c>
      <c r="I24" s="1118" t="str">
        <f>№9!I25</f>
        <v>стоимость 1 пачки  250 руб, 500 листов</v>
      </c>
    </row>
    <row r="25" spans="1:10" x14ac:dyDescent="0.25">
      <c r="A25" s="1120" t="s">
        <v>17</v>
      </c>
      <c r="B25" s="1121"/>
      <c r="C25" s="1121"/>
      <c r="D25" s="1121"/>
      <c r="E25" s="1121"/>
      <c r="F25" s="1121"/>
      <c r="G25" s="1122"/>
      <c r="H25" s="122">
        <f>SUM(H24:H24)</f>
        <v>1.5</v>
      </c>
      <c r="I25" s="1119"/>
    </row>
    <row r="26" spans="1:10" x14ac:dyDescent="0.25">
      <c r="A26" s="1127" t="s">
        <v>18</v>
      </c>
      <c r="B26" s="1128"/>
      <c r="C26" s="1128"/>
      <c r="D26" s="1128"/>
      <c r="E26" s="1128"/>
      <c r="F26" s="1128"/>
      <c r="G26" s="1129"/>
      <c r="H26" s="498">
        <f>H25+H20+H7</f>
        <v>356.79388364119706</v>
      </c>
      <c r="I26" s="43"/>
    </row>
  </sheetData>
  <mergeCells count="10">
    <mergeCell ref="A1:I1"/>
    <mergeCell ref="A23:I23"/>
    <mergeCell ref="I24:I25"/>
    <mergeCell ref="A25:G25"/>
    <mergeCell ref="A26:G26"/>
    <mergeCell ref="A7:G7"/>
    <mergeCell ref="A10:I10"/>
    <mergeCell ref="A20:G20"/>
    <mergeCell ref="I11:I17"/>
    <mergeCell ref="I18:I20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527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89.25" x14ac:dyDescent="0.25">
      <c r="A6" s="130" t="s">
        <v>175</v>
      </c>
      <c r="B6" s="131">
        <f>№10!H7</f>
        <v>346.01280000000003</v>
      </c>
      <c r="C6" s="131">
        <f>№10!H20</f>
        <v>9.2810836411970499</v>
      </c>
      <c r="D6" s="131">
        <f>№10!H25</f>
        <v>1.5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31">
        <f>SUM(B6:K6)</f>
        <v>505.58956903817875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L111"/>
  <sheetViews>
    <sheetView zoomScaleNormal="100" workbookViewId="0">
      <pane xSplit="2" ySplit="4" topLeftCell="C47" activePane="bottomRight" state="frozen"/>
      <selection activeCell="G124" sqref="G124"/>
      <selection pane="topRight" activeCell="G124" sqref="G124"/>
      <selection pane="bottomLeft" activeCell="G124" sqref="G124"/>
      <selection pane="bottomRight" activeCell="E81" sqref="E81"/>
    </sheetView>
  </sheetViews>
  <sheetFormatPr defaultColWidth="8.85546875" defaultRowHeight="12.75" outlineLevelRow="1" x14ac:dyDescent="0.2"/>
  <cols>
    <col min="1" max="1" width="7.42578125" style="442" bestFit="1" customWidth="1"/>
    <col min="2" max="2" width="46.28515625" style="68" bestFit="1" customWidth="1"/>
    <col min="3" max="4" width="13.7109375" style="68" bestFit="1" customWidth="1"/>
    <col min="5" max="5" width="14.7109375" style="68" customWidth="1"/>
    <col min="6" max="7" width="9.5703125" style="72" bestFit="1" customWidth="1"/>
    <col min="8" max="8" width="9.5703125" style="9" bestFit="1" customWidth="1"/>
    <col min="9" max="9" width="10.85546875" style="9" bestFit="1" customWidth="1"/>
    <col min="10" max="10" width="15.140625" style="9" customWidth="1"/>
    <col min="11" max="11" width="14.140625" style="9" customWidth="1"/>
    <col min="12" max="12" width="10.85546875" style="9" customWidth="1"/>
    <col min="13" max="15" width="8.85546875" style="9" customWidth="1"/>
    <col min="16" max="16384" width="8.85546875" style="9"/>
  </cols>
  <sheetData>
    <row r="1" spans="1:10" ht="15.75" x14ac:dyDescent="0.2">
      <c r="A1" s="993" t="s">
        <v>60</v>
      </c>
      <c r="B1" s="993"/>
      <c r="C1" s="993"/>
      <c r="D1" s="993"/>
      <c r="E1" s="993"/>
      <c r="F1" s="993"/>
      <c r="G1" s="993"/>
    </row>
    <row r="2" spans="1:10" ht="4.5" customHeight="1" x14ac:dyDescent="0.2">
      <c r="B2" s="60"/>
      <c r="C2" s="60"/>
      <c r="D2" s="60"/>
      <c r="E2" s="60"/>
      <c r="F2" s="73"/>
      <c r="G2" s="73"/>
    </row>
    <row r="3" spans="1:10" ht="25.5" x14ac:dyDescent="0.2">
      <c r="A3" s="416" t="s">
        <v>61</v>
      </c>
      <c r="B3" s="416" t="s">
        <v>62</v>
      </c>
      <c r="C3" s="416" t="s">
        <v>210</v>
      </c>
      <c r="D3" s="416"/>
      <c r="E3" s="933" t="s">
        <v>478</v>
      </c>
      <c r="F3" s="997" t="s">
        <v>209</v>
      </c>
      <c r="G3" s="998"/>
      <c r="H3" s="410" t="s">
        <v>478</v>
      </c>
    </row>
    <row r="4" spans="1:10" x14ac:dyDescent="0.2">
      <c r="A4" s="407">
        <v>1</v>
      </c>
      <c r="B4" s="407">
        <v>2</v>
      </c>
      <c r="C4" s="407">
        <v>3</v>
      </c>
      <c r="D4" s="417">
        <v>0.65600000000000003</v>
      </c>
      <c r="E4" s="934"/>
      <c r="F4" s="434">
        <f>'Свод РЦВК 2020'!I40</f>
        <v>265212.859</v>
      </c>
      <c r="G4" s="434">
        <f>'Свод РЦВК 2020'!H40</f>
        <v>274063</v>
      </c>
      <c r="H4" s="435">
        <f>'Свод РЦВК 2020'!H41</f>
        <v>282582</v>
      </c>
      <c r="I4" s="276">
        <f>'Свод РЦВК 2020'!H38</f>
        <v>864</v>
      </c>
    </row>
    <row r="5" spans="1:10" ht="13.5" x14ac:dyDescent="0.25">
      <c r="A5" s="994" t="s">
        <v>69</v>
      </c>
      <c r="B5" s="994"/>
      <c r="C5" s="419"/>
      <c r="D5" s="419"/>
      <c r="E5" s="935"/>
      <c r="F5" s="436"/>
      <c r="G5" s="436"/>
      <c r="H5" s="433"/>
    </row>
    <row r="6" spans="1:10" outlineLevel="1" x14ac:dyDescent="0.2">
      <c r="A6" s="407">
        <f>'Свод расчетный'!A6</f>
        <v>223</v>
      </c>
      <c r="B6" s="420" t="s">
        <v>127</v>
      </c>
      <c r="C6" s="406">
        <f>'Свод расчетный'!C6</f>
        <v>7237006.3899999997</v>
      </c>
      <c r="D6" s="406">
        <f>C6*D4</f>
        <v>4747476.1918399995</v>
      </c>
      <c r="E6" s="504"/>
      <c r="F6" s="437">
        <f>D6/$F$4</f>
        <v>17.900625971684125</v>
      </c>
      <c r="G6" s="437">
        <f>D6/$G$4</f>
        <v>17.322572517413878</v>
      </c>
      <c r="H6" s="433"/>
    </row>
    <row r="7" spans="1:10" outlineLevel="1" x14ac:dyDescent="0.2">
      <c r="A7" s="407">
        <f>'Свод расчетный'!A7</f>
        <v>223</v>
      </c>
      <c r="B7" s="420" t="s">
        <v>71</v>
      </c>
      <c r="C7" s="406">
        <f>'Свод расчетный'!C7</f>
        <v>1612838.4100000001</v>
      </c>
      <c r="D7" s="406">
        <f>C7*D4</f>
        <v>1058021.9969600001</v>
      </c>
      <c r="E7" s="504"/>
      <c r="F7" s="437">
        <f t="shared" ref="F7:F10" si="0">D7/$F$4</f>
        <v>3.9893314409766236</v>
      </c>
      <c r="G7" s="437">
        <f t="shared" ref="G7:G10" si="1">D7/$G$4</f>
        <v>3.8605065147794488</v>
      </c>
      <c r="H7" s="433"/>
    </row>
    <row r="8" spans="1:10" outlineLevel="1" x14ac:dyDescent="0.2">
      <c r="A8" s="407">
        <f>'Свод расчетный'!A8</f>
        <v>223</v>
      </c>
      <c r="B8" s="420" t="s">
        <v>679</v>
      </c>
      <c r="C8" s="406">
        <f>'Свод расчетный'!C8</f>
        <v>86031.62000000001</v>
      </c>
      <c r="D8" s="406">
        <f>C8*D4</f>
        <v>56436.742720000009</v>
      </c>
      <c r="E8" s="504"/>
      <c r="F8" s="437">
        <f>D8/$F$4</f>
        <v>0.21279791233652065</v>
      </c>
      <c r="G8" s="437">
        <f t="shared" si="1"/>
        <v>0.20592616558966373</v>
      </c>
      <c r="H8" s="433"/>
    </row>
    <row r="9" spans="1:10" outlineLevel="1" x14ac:dyDescent="0.2">
      <c r="A9" s="407">
        <f>'Свод расчетный'!A9</f>
        <v>223</v>
      </c>
      <c r="B9" s="420" t="s">
        <v>80</v>
      </c>
      <c r="C9" s="406">
        <f>'Свод расчетный'!C9</f>
        <v>73389.399999999994</v>
      </c>
      <c r="D9" s="406">
        <f>C9*D4</f>
        <v>48143.446400000001</v>
      </c>
      <c r="E9" s="504"/>
      <c r="F9" s="437">
        <f t="shared" si="0"/>
        <v>0.18152757216044341</v>
      </c>
      <c r="G9" s="437">
        <f>D9/$G$4</f>
        <v>0.1756656184891795</v>
      </c>
      <c r="H9" s="433"/>
    </row>
    <row r="10" spans="1:10" outlineLevel="1" x14ac:dyDescent="0.2">
      <c r="A10" s="407">
        <f>'Свод расчетный'!A10</f>
        <v>223</v>
      </c>
      <c r="B10" s="420" t="s">
        <v>128</v>
      </c>
      <c r="C10" s="406">
        <f>'Свод расчетный'!C10</f>
        <v>0</v>
      </c>
      <c r="D10" s="406">
        <f>C10*D4</f>
        <v>0</v>
      </c>
      <c r="E10" s="504"/>
      <c r="F10" s="437">
        <f t="shared" si="0"/>
        <v>0</v>
      </c>
      <c r="G10" s="437">
        <f t="shared" si="1"/>
        <v>0</v>
      </c>
      <c r="H10" s="433"/>
      <c r="I10" s="12">
        <f>'Свод расчетный'!C11-Лист4!C11</f>
        <v>0</v>
      </c>
    </row>
    <row r="11" spans="1:10" ht="13.5" x14ac:dyDescent="0.2">
      <c r="A11" s="407"/>
      <c r="B11" s="408"/>
      <c r="C11" s="421">
        <f>SUM(C6:C10)</f>
        <v>9009265.8200000003</v>
      </c>
      <c r="D11" s="421">
        <f>SUM(D6:D10)</f>
        <v>5910078.3779199999</v>
      </c>
      <c r="E11" s="936"/>
      <c r="F11" s="438">
        <f>SUM(F6:F10)</f>
        <v>22.284282897157713</v>
      </c>
      <c r="G11" s="438">
        <f>SUM(G6:G10)</f>
        <v>21.564670816272169</v>
      </c>
      <c r="H11" s="438">
        <f>SUM(H6:H10)</f>
        <v>0</v>
      </c>
      <c r="I11" s="12">
        <f>C11*$D$4</f>
        <v>5910078.3779200008</v>
      </c>
      <c r="J11" s="12">
        <f>I11-D11</f>
        <v>0</v>
      </c>
    </row>
    <row r="12" spans="1:10" ht="13.5" x14ac:dyDescent="0.25">
      <c r="A12" s="994" t="s">
        <v>75</v>
      </c>
      <c r="B12" s="994"/>
      <c r="C12" s="994"/>
      <c r="D12" s="994"/>
      <c r="E12" s="996"/>
      <c r="F12" s="994"/>
      <c r="G12" s="994"/>
      <c r="H12" s="433"/>
    </row>
    <row r="13" spans="1:10" ht="38.25" outlineLevel="1" x14ac:dyDescent="0.2">
      <c r="A13" s="407">
        <f>'Свод расчетный'!A13</f>
        <v>225</v>
      </c>
      <c r="B13" s="408" t="s">
        <v>76</v>
      </c>
      <c r="C13" s="426">
        <f>'Свод расчетный'!C13</f>
        <v>90000</v>
      </c>
      <c r="D13" s="406">
        <f t="shared" ref="D13:D19" si="2">C13*$D$4</f>
        <v>59040</v>
      </c>
      <c r="E13" s="504"/>
      <c r="F13" s="437">
        <f t="shared" ref="F13:F19" si="3">D13/$F$4</f>
        <v>0.22261364031372249</v>
      </c>
      <c r="G13" s="437">
        <f t="shared" ref="G13:G19" si="4">D13/$G$4</f>
        <v>0.21542492054746537</v>
      </c>
      <c r="H13" s="433"/>
    </row>
    <row r="14" spans="1:10" ht="25.5" outlineLevel="1" x14ac:dyDescent="0.2">
      <c r="A14" s="407">
        <f>'Свод расчетный'!A14</f>
        <v>225</v>
      </c>
      <c r="B14" s="408" t="str">
        <f>'Свод расчетный'!B14</f>
        <v>Содержание и ТО общего имущества (септик РВЛ, промывка, опресовка Сортавала и Питкяранта)</v>
      </c>
      <c r="C14" s="426">
        <f>'Свод расчетный'!C14</f>
        <v>43000</v>
      </c>
      <c r="D14" s="406">
        <f t="shared" si="2"/>
        <v>28208</v>
      </c>
      <c r="E14" s="504"/>
      <c r="F14" s="437">
        <f t="shared" si="3"/>
        <v>0.10635985037211186</v>
      </c>
      <c r="G14" s="437">
        <f t="shared" si="4"/>
        <v>0.10292523981712234</v>
      </c>
      <c r="H14" s="433"/>
    </row>
    <row r="15" spans="1:10" outlineLevel="1" x14ac:dyDescent="0.2">
      <c r="A15" s="407">
        <f>'Свод расчетный'!A15</f>
        <v>225</v>
      </c>
      <c r="B15" s="408" t="s">
        <v>78</v>
      </c>
      <c r="C15" s="426">
        <f>'Свод расчетный'!C15</f>
        <v>200000</v>
      </c>
      <c r="D15" s="406">
        <f t="shared" si="2"/>
        <v>131200</v>
      </c>
      <c r="E15" s="504"/>
      <c r="F15" s="437">
        <f t="shared" si="3"/>
        <v>0.49469697847493888</v>
      </c>
      <c r="G15" s="437">
        <f t="shared" si="4"/>
        <v>0.47872204566103416</v>
      </c>
      <c r="H15" s="433"/>
    </row>
    <row r="16" spans="1:10" outlineLevel="1" x14ac:dyDescent="0.2">
      <c r="A16" s="407">
        <f>'Свод расчетный'!A16</f>
        <v>225</v>
      </c>
      <c r="B16" s="408" t="s">
        <v>79</v>
      </c>
      <c r="C16" s="426">
        <f>'Свод расчетный'!C16</f>
        <v>60200</v>
      </c>
      <c r="D16" s="406">
        <f t="shared" si="2"/>
        <v>39491.200000000004</v>
      </c>
      <c r="E16" s="504"/>
      <c r="F16" s="437">
        <f t="shared" si="3"/>
        <v>0.14890379052095662</v>
      </c>
      <c r="G16" s="437">
        <f t="shared" si="4"/>
        <v>0.14409533574397129</v>
      </c>
      <c r="H16" s="433"/>
    </row>
    <row r="17" spans="1:10" outlineLevel="1" x14ac:dyDescent="0.2">
      <c r="A17" s="407" t="str">
        <f>'Свод расчетный'!A17</f>
        <v>211, 213</v>
      </c>
      <c r="B17" s="408" t="s">
        <v>131</v>
      </c>
      <c r="C17" s="426">
        <f>'Свод расчетный'!C17</f>
        <v>4525802.9000000004</v>
      </c>
      <c r="D17" s="406">
        <f t="shared" si="2"/>
        <v>2968926.7024000003</v>
      </c>
      <c r="E17" s="504"/>
      <c r="F17" s="437">
        <f t="shared" si="3"/>
        <v>11.194505099015581</v>
      </c>
      <c r="G17" s="437">
        <f t="shared" si="4"/>
        <v>10.833008112733205</v>
      </c>
      <c r="H17" s="433"/>
    </row>
    <row r="18" spans="1:10" outlineLevel="1" x14ac:dyDescent="0.2">
      <c r="A18" s="407">
        <f>'Свод расчетный'!A18</f>
        <v>226</v>
      </c>
      <c r="B18" s="408" t="s">
        <v>81</v>
      </c>
      <c r="C18" s="426">
        <f>'Свод расчетный'!C18</f>
        <v>718033.16159999999</v>
      </c>
      <c r="D18" s="406">
        <f t="shared" si="2"/>
        <v>471029.75400960003</v>
      </c>
      <c r="E18" s="504"/>
      <c r="F18" s="437">
        <f t="shared" si="3"/>
        <v>1.7760441774416378</v>
      </c>
      <c r="G18" s="437">
        <f>D18/$G$4</f>
        <v>1.7186915198680597</v>
      </c>
      <c r="H18" s="433"/>
    </row>
    <row r="19" spans="1:10" outlineLevel="1" x14ac:dyDescent="0.2">
      <c r="A19" s="407">
        <f>'Свод расчетный'!A19</f>
        <v>346</v>
      </c>
      <c r="B19" s="408" t="s">
        <v>137</v>
      </c>
      <c r="C19" s="426">
        <f>'Свод расчетный'!C19</f>
        <v>3500</v>
      </c>
      <c r="D19" s="406">
        <f t="shared" si="2"/>
        <v>2296</v>
      </c>
      <c r="E19" s="504"/>
      <c r="F19" s="437">
        <f t="shared" si="3"/>
        <v>8.6571971233114307E-3</v>
      </c>
      <c r="G19" s="437">
        <f t="shared" si="4"/>
        <v>8.3776357990680977E-3</v>
      </c>
      <c r="H19" s="433"/>
      <c r="I19" s="12">
        <f>C20-'Свод расчетный'!C20</f>
        <v>0</v>
      </c>
    </row>
    <row r="20" spans="1:10" ht="13.5" x14ac:dyDescent="0.2">
      <c r="A20" s="443"/>
      <c r="B20" s="423"/>
      <c r="C20" s="424">
        <f>SUM(C13:C19)</f>
        <v>5640536.0616000006</v>
      </c>
      <c r="D20" s="424">
        <f>SUM(D13:D19)</f>
        <v>3700191.6564096007</v>
      </c>
      <c r="E20" s="937"/>
      <c r="F20" s="424">
        <f>SUM(F13:F19)</f>
        <v>13.951780733262259</v>
      </c>
      <c r="G20" s="424">
        <f>SUM(G13:G19)</f>
        <v>13.501244810169926</v>
      </c>
      <c r="H20" s="424">
        <f>SUM(H13:H19)</f>
        <v>0</v>
      </c>
      <c r="I20" s="12">
        <f>C20*$D$4</f>
        <v>3700191.6564096007</v>
      </c>
      <c r="J20" s="12">
        <f>I20-D20</f>
        <v>0</v>
      </c>
    </row>
    <row r="21" spans="1:10" ht="13.5" x14ac:dyDescent="0.25">
      <c r="A21" s="994" t="s">
        <v>82</v>
      </c>
      <c r="B21" s="994"/>
      <c r="C21" s="994"/>
      <c r="D21" s="994"/>
      <c r="E21" s="996"/>
      <c r="F21" s="994"/>
      <c r="G21" s="994"/>
      <c r="H21" s="433"/>
    </row>
    <row r="22" spans="1:10" outlineLevel="1" x14ac:dyDescent="0.2">
      <c r="A22" s="407">
        <f>'Свод расчетный'!A22</f>
        <v>226</v>
      </c>
      <c r="B22" s="411" t="str">
        <f>'Свод расчетный'!B22</f>
        <v>Предрейсовый осмотр а/м и водителей</v>
      </c>
      <c r="C22" s="439">
        <f>'Свод расчетный'!C22</f>
        <v>721436</v>
      </c>
      <c r="D22" s="406">
        <f t="shared" ref="D22:D29" si="5">C22*$D$4</f>
        <v>473262.016</v>
      </c>
      <c r="E22" s="504"/>
      <c r="F22" s="437">
        <f t="shared" ref="F22:F29" si="6">D22/$F$4</f>
        <v>1.78446104681523</v>
      </c>
      <c r="G22" s="437">
        <f>D22/$G$4</f>
        <v>1.7268365886675692</v>
      </c>
      <c r="H22" s="406"/>
    </row>
    <row r="23" spans="1:10" outlineLevel="1" x14ac:dyDescent="0.2">
      <c r="A23" s="407">
        <f>'Свод расчетный'!A23</f>
        <v>225</v>
      </c>
      <c r="B23" s="411" t="str">
        <f>'Свод расчетный'!B23</f>
        <v>Тех.осмотр а/м</v>
      </c>
      <c r="C23" s="439">
        <f>'Свод расчетный'!C23</f>
        <v>130000</v>
      </c>
      <c r="D23" s="406">
        <f t="shared" si="5"/>
        <v>85280</v>
      </c>
      <c r="E23" s="504"/>
      <c r="F23" s="437">
        <f t="shared" si="6"/>
        <v>0.32155303600871027</v>
      </c>
      <c r="G23" s="437">
        <f t="shared" ref="G23:G29" si="7">D23/$G$4</f>
        <v>0.3111693296796722</v>
      </c>
      <c r="H23" s="406"/>
    </row>
    <row r="24" spans="1:10" outlineLevel="1" x14ac:dyDescent="0.2">
      <c r="A24" s="407">
        <f>'Свод расчетный'!A24</f>
        <v>225</v>
      </c>
      <c r="B24" s="411" t="str">
        <f>'Свод расчетный'!B24</f>
        <v>Ремонт  а/м</v>
      </c>
      <c r="C24" s="439">
        <f>'Свод расчетный'!C24</f>
        <v>60000</v>
      </c>
      <c r="D24" s="406">
        <f t="shared" si="5"/>
        <v>39360</v>
      </c>
      <c r="E24" s="504"/>
      <c r="F24" s="437">
        <f t="shared" si="6"/>
        <v>0.14840909354248166</v>
      </c>
      <c r="G24" s="437">
        <f t="shared" si="7"/>
        <v>0.14361661369831025</v>
      </c>
      <c r="H24" s="406"/>
    </row>
    <row r="25" spans="1:10" outlineLevel="1" x14ac:dyDescent="0.2">
      <c r="A25" s="407">
        <f>'Свод расчетный'!A25</f>
        <v>343</v>
      </c>
      <c r="B25" s="411" t="str">
        <f>'Свод расчетный'!B25</f>
        <v>Приобретение ГСМ</v>
      </c>
      <c r="C25" s="439">
        <f>'Свод расчетный'!C25</f>
        <v>2100000</v>
      </c>
      <c r="D25" s="406">
        <f t="shared" si="5"/>
        <v>1377600</v>
      </c>
      <c r="E25" s="504"/>
      <c r="F25" s="437">
        <f t="shared" si="6"/>
        <v>5.1943182739868581</v>
      </c>
      <c r="G25" s="437">
        <f t="shared" si="7"/>
        <v>5.0265814794408588</v>
      </c>
      <c r="H25" s="406"/>
    </row>
    <row r="26" spans="1:10" outlineLevel="1" x14ac:dyDescent="0.2">
      <c r="A26" s="407">
        <f>'Свод расчетный'!A26</f>
        <v>227</v>
      </c>
      <c r="B26" s="411" t="str">
        <f>'Свод расчетный'!B26</f>
        <v>Страхование а/м (ОСАГО, КАСКО)</v>
      </c>
      <c r="C26" s="439">
        <f>'Свод расчетный'!C26</f>
        <v>464539.01520000002</v>
      </c>
      <c r="D26" s="406">
        <f t="shared" si="5"/>
        <v>304737.59397120005</v>
      </c>
      <c r="E26" s="504"/>
      <c r="F26" s="437">
        <f t="shared" si="6"/>
        <v>1.1490302360158187</v>
      </c>
      <c r="G26" s="437">
        <f t="shared" si="7"/>
        <v>1.1119253382295313</v>
      </c>
      <c r="H26" s="406"/>
    </row>
    <row r="27" spans="1:10" outlineLevel="1" x14ac:dyDescent="0.2">
      <c r="A27" s="407">
        <f>'Свод расчетный'!A27</f>
        <v>226</v>
      </c>
      <c r="B27" s="411" t="str">
        <f>'Свод расчетный'!B27</f>
        <v>Оценка а/м</v>
      </c>
      <c r="C27" s="439">
        <f>'Свод расчетный'!C27</f>
        <v>13500</v>
      </c>
      <c r="D27" s="406">
        <f t="shared" si="5"/>
        <v>8856</v>
      </c>
      <c r="E27" s="504"/>
      <c r="F27" s="437">
        <f t="shared" si="6"/>
        <v>3.3392046047058373E-2</v>
      </c>
      <c r="G27" s="437">
        <f t="shared" si="7"/>
        <v>3.2313738082119806E-2</v>
      </c>
      <c r="H27" s="406"/>
    </row>
    <row r="28" spans="1:10" outlineLevel="1" x14ac:dyDescent="0.2">
      <c r="A28" s="407">
        <f>'Свод расчетный'!A28</f>
        <v>346</v>
      </c>
      <c r="B28" s="411" t="str">
        <f>'Свод расчетный'!B28</f>
        <v>Оплата зап.частей для а/м</v>
      </c>
      <c r="C28" s="439">
        <f>'Свод расчетный'!C28</f>
        <v>396000</v>
      </c>
      <c r="D28" s="406">
        <f t="shared" si="5"/>
        <v>259776</v>
      </c>
      <c r="E28" s="504"/>
      <c r="F28" s="437">
        <f t="shared" si="6"/>
        <v>0.97950001738037895</v>
      </c>
      <c r="G28" s="437">
        <f t="shared" si="7"/>
        <v>0.94786965040884763</v>
      </c>
      <c r="H28" s="406"/>
    </row>
    <row r="29" spans="1:10" ht="25.5" outlineLevel="1" x14ac:dyDescent="0.2">
      <c r="A29" s="407">
        <f>'Свод расчетный'!A29</f>
        <v>225</v>
      </c>
      <c r="B29" s="411" t="str">
        <f>'Свод расчетный'!B29</f>
        <v>Техническое обслуживание и регламентно-профилактический ремонт систем видеонаблюдения</v>
      </c>
      <c r="C29" s="439">
        <f>'Свод расчетный'!C29</f>
        <v>0</v>
      </c>
      <c r="D29" s="406">
        <f t="shared" si="5"/>
        <v>0</v>
      </c>
      <c r="E29" s="504"/>
      <c r="F29" s="437">
        <f t="shared" si="6"/>
        <v>0</v>
      </c>
      <c r="G29" s="437">
        <f t="shared" si="7"/>
        <v>0</v>
      </c>
      <c r="H29" s="406"/>
      <c r="I29" s="12">
        <f>C30-'Свод расчетный'!C30</f>
        <v>0</v>
      </c>
    </row>
    <row r="30" spans="1:10" ht="15" x14ac:dyDescent="0.2">
      <c r="A30" s="407"/>
      <c r="B30" s="425"/>
      <c r="C30" s="421">
        <f>SUM(C22:C29)</f>
        <v>3885475.0152000003</v>
      </c>
      <c r="D30" s="421">
        <f>SUM(D22:D29)</f>
        <v>2548871.6099712001</v>
      </c>
      <c r="E30" s="936"/>
      <c r="F30" s="438">
        <f>SUM(F22:F29)</f>
        <v>9.6106637497965366</v>
      </c>
      <c r="G30" s="438">
        <f>SUM(G22:G29)</f>
        <v>9.3003127382069088</v>
      </c>
      <c r="H30" s="438">
        <f>SUM(H22:H29)</f>
        <v>0</v>
      </c>
      <c r="I30" s="12">
        <f>C30*$D$4</f>
        <v>2548871.6099712001</v>
      </c>
      <c r="J30" s="12">
        <f>I30-D30</f>
        <v>0</v>
      </c>
    </row>
    <row r="31" spans="1:10" ht="13.5" x14ac:dyDescent="0.25">
      <c r="A31" s="994" t="s">
        <v>88</v>
      </c>
      <c r="B31" s="994"/>
      <c r="C31" s="994"/>
      <c r="D31" s="994"/>
      <c r="E31" s="996"/>
      <c r="F31" s="994"/>
      <c r="G31" s="994"/>
      <c r="H31" s="433"/>
    </row>
    <row r="32" spans="1:10" outlineLevel="1" x14ac:dyDescent="0.2">
      <c r="A32" s="407">
        <f>'Свод расчетный'!A32</f>
        <v>221</v>
      </c>
      <c r="B32" s="408" t="s">
        <v>89</v>
      </c>
      <c r="C32" s="426">
        <f>'Свод расчетный'!C32</f>
        <v>319245.99</v>
      </c>
      <c r="D32" s="406">
        <f>C32*$D$4</f>
        <v>209425.36944000001</v>
      </c>
      <c r="E32" s="504"/>
      <c r="F32" s="437">
        <f t="shared" ref="F32:F36" si="8">D32/$F$4</f>
        <v>0.78965013321620281</v>
      </c>
      <c r="G32" s="437">
        <f>D32/$G$4</f>
        <v>0.76415046700941025</v>
      </c>
      <c r="H32" s="433"/>
    </row>
    <row r="33" spans="1:12" outlineLevel="1" x14ac:dyDescent="0.2">
      <c r="A33" s="407">
        <f>'Свод расчетный'!A33</f>
        <v>221</v>
      </c>
      <c r="B33" s="408" t="s">
        <v>90</v>
      </c>
      <c r="C33" s="426">
        <f>'Свод расчетный'!C33</f>
        <v>243500</v>
      </c>
      <c r="D33" s="406">
        <f>C33*$D$4</f>
        <v>159736</v>
      </c>
      <c r="E33" s="504"/>
      <c r="F33" s="437">
        <f t="shared" si="8"/>
        <v>0.60229357129323813</v>
      </c>
      <c r="G33" s="437">
        <f t="shared" ref="G33:G36" si="9">D33/$G$4</f>
        <v>0.58284409059230902</v>
      </c>
      <c r="H33" s="406"/>
    </row>
    <row r="34" spans="1:12" outlineLevel="1" x14ac:dyDescent="0.2">
      <c r="A34" s="407">
        <f>'Свод расчетный'!A34</f>
        <v>221</v>
      </c>
      <c r="B34" s="408" t="s">
        <v>91</v>
      </c>
      <c r="C34" s="426">
        <f>'Свод расчетный'!C34</f>
        <v>570409.91999999993</v>
      </c>
      <c r="D34" s="406">
        <f>C34*$D$4</f>
        <v>374188.90751999995</v>
      </c>
      <c r="E34" s="504"/>
      <c r="F34" s="437">
        <f t="shared" si="8"/>
        <v>1.4109003195806578</v>
      </c>
      <c r="G34" s="437">
        <f t="shared" si="9"/>
        <v>1.365339018838734</v>
      </c>
      <c r="H34" s="406"/>
    </row>
    <row r="35" spans="1:12" outlineLevel="1" x14ac:dyDescent="0.2">
      <c r="A35" s="407">
        <f>'Свод расчетный'!A35</f>
        <v>221</v>
      </c>
      <c r="B35" s="408" t="s">
        <v>1402</v>
      </c>
      <c r="C35" s="426">
        <f>'Свод расчетный'!C35</f>
        <v>4038.53</v>
      </c>
      <c r="D35" s="406">
        <f>C35*$D$4</f>
        <v>2649.2756800000002</v>
      </c>
      <c r="E35" s="504"/>
      <c r="F35" s="437">
        <f t="shared" si="8"/>
        <v>9.9892429424019748E-3</v>
      </c>
      <c r="G35" s="437">
        <f t="shared" si="9"/>
        <v>9.6666667153172819E-3</v>
      </c>
      <c r="H35" s="433"/>
    </row>
    <row r="36" spans="1:12" outlineLevel="1" x14ac:dyDescent="0.2">
      <c r="A36" s="407">
        <f>'Свод расчетный'!A36</f>
        <v>221</v>
      </c>
      <c r="B36" s="408" t="s">
        <v>138</v>
      </c>
      <c r="C36" s="426">
        <f>'Свод расчетный'!C36</f>
        <v>276262.53000000003</v>
      </c>
      <c r="D36" s="406">
        <f>C36*$D$4</f>
        <v>181228.21968000004</v>
      </c>
      <c r="E36" s="504"/>
      <c r="F36" s="437">
        <f t="shared" si="8"/>
        <v>0.68333119428421096</v>
      </c>
      <c r="G36" s="437">
        <f t="shared" si="9"/>
        <v>0.66126481750546418</v>
      </c>
      <c r="H36" s="406"/>
      <c r="I36" s="12">
        <f>C37-'Свод расчетный'!C37</f>
        <v>0</v>
      </c>
    </row>
    <row r="37" spans="1:12" ht="13.5" x14ac:dyDescent="0.2">
      <c r="A37" s="407"/>
      <c r="B37" s="408"/>
      <c r="C37" s="421">
        <f>SUM(C32:C36)</f>
        <v>1413456.97</v>
      </c>
      <c r="D37" s="421">
        <f>SUM(D32:D36)</f>
        <v>927227.77231999999</v>
      </c>
      <c r="E37" s="936"/>
      <c r="F37" s="438">
        <f>SUM(F32:F36)</f>
        <v>3.4961644613167113</v>
      </c>
      <c r="G37" s="438">
        <f>SUM(G32:G36)</f>
        <v>3.3832650606612349</v>
      </c>
      <c r="H37" s="438">
        <f>SUM(H32:H36)</f>
        <v>0</v>
      </c>
      <c r="I37" s="12">
        <f>C37*$D$4</f>
        <v>927227.77231999999</v>
      </c>
      <c r="J37" s="12">
        <f>I37-D37</f>
        <v>0</v>
      </c>
    </row>
    <row r="38" spans="1:12" ht="13.5" x14ac:dyDescent="0.25">
      <c r="A38" s="994" t="s">
        <v>92</v>
      </c>
      <c r="B38" s="994"/>
      <c r="C38" s="994"/>
      <c r="D38" s="994"/>
      <c r="E38" s="996"/>
      <c r="F38" s="994"/>
      <c r="G38" s="994"/>
      <c r="H38" s="433"/>
    </row>
    <row r="39" spans="1:12" ht="25.5" outlineLevel="1" x14ac:dyDescent="0.2">
      <c r="A39" s="407">
        <f>'Свод расчетный'!A39</f>
        <v>222</v>
      </c>
      <c r="B39" s="408" t="str">
        <f>'Свод расчетный'!B39</f>
        <v>Оплата разовых транспортных услуг (перевозка грузов, подвоз воды, такси - Кондопога)</v>
      </c>
      <c r="C39" s="426">
        <f>'Свод расчетный'!C39</f>
        <v>5450.88</v>
      </c>
      <c r="D39" s="406">
        <f>C39*$D$4</f>
        <v>3575.7772800000002</v>
      </c>
      <c r="E39" s="504"/>
      <c r="F39" s="437">
        <f t="shared" ref="F39:F40" si="10">D39/$F$4</f>
        <v>1.3482669330147376E-2</v>
      </c>
      <c r="G39" s="437">
        <f t="shared" ref="G39:G40" si="11">D39/$G$4</f>
        <v>1.3047282121264089E-2</v>
      </c>
      <c r="H39" s="433"/>
    </row>
    <row r="40" spans="1:12" ht="25.5" outlineLevel="1" x14ac:dyDescent="0.2">
      <c r="A40" s="407">
        <f>'Свод расчетный'!A40</f>
        <v>222</v>
      </c>
      <c r="B40" s="408" t="s">
        <v>94</v>
      </c>
      <c r="C40" s="426">
        <f>'Свод расчетный'!C40</f>
        <v>0</v>
      </c>
      <c r="D40" s="406">
        <f>C40*$D$4</f>
        <v>0</v>
      </c>
      <c r="E40" s="504"/>
      <c r="F40" s="437">
        <f t="shared" si="10"/>
        <v>0</v>
      </c>
      <c r="G40" s="437">
        <f t="shared" si="11"/>
        <v>0</v>
      </c>
      <c r="H40" s="433"/>
      <c r="I40" s="12">
        <f>C41-'Свод расчетный'!C41</f>
        <v>0</v>
      </c>
    </row>
    <row r="41" spans="1:12" ht="13.5" x14ac:dyDescent="0.2">
      <c r="A41" s="407"/>
      <c r="B41" s="408"/>
      <c r="C41" s="421">
        <f>SUM(C39:C40)</f>
        <v>5450.88</v>
      </c>
      <c r="D41" s="421">
        <f>SUM(D39:D40)</f>
        <v>3575.7772800000002</v>
      </c>
      <c r="E41" s="936"/>
      <c r="F41" s="438">
        <f>SUM(F39:F40)</f>
        <v>1.3482669330147376E-2</v>
      </c>
      <c r="G41" s="438">
        <f>SUM(G39:G40)</f>
        <v>1.3047282121264089E-2</v>
      </c>
      <c r="H41" s="438">
        <f>SUM(H39:H40)</f>
        <v>0</v>
      </c>
      <c r="I41" s="12">
        <f>C41*$D$4</f>
        <v>3575.7772800000002</v>
      </c>
      <c r="J41" s="12">
        <f>I41-D41</f>
        <v>0</v>
      </c>
    </row>
    <row r="42" spans="1:12" ht="13.5" x14ac:dyDescent="0.25">
      <c r="A42" s="994" t="s">
        <v>95</v>
      </c>
      <c r="B42" s="994"/>
      <c r="C42" s="994"/>
      <c r="D42" s="994"/>
      <c r="E42" s="996"/>
      <c r="F42" s="994"/>
      <c r="G42" s="994"/>
      <c r="H42" s="433"/>
    </row>
    <row r="43" spans="1:12" outlineLevel="1" x14ac:dyDescent="0.2">
      <c r="A43" s="407" t="str">
        <f>'Свод расчетный'!A43</f>
        <v>211, 213</v>
      </c>
      <c r="B43" s="427" t="str">
        <f>'Свод расчетный'!B43</f>
        <v>Администрация</v>
      </c>
      <c r="C43" s="405">
        <f>'Свод расчетный'!C43</f>
        <v>2589693.9811006803</v>
      </c>
      <c r="D43" s="406">
        <f>C43*$D$4</f>
        <v>1698839.2516020464</v>
      </c>
      <c r="E43" s="504"/>
      <c r="F43" s="437">
        <f t="shared" ref="F43:F46" si="12">D43/$F$4</f>
        <v>6.4055689381262111</v>
      </c>
      <c r="G43" s="437">
        <f t="shared" ref="G43:G46" si="13">D43/$G$4</f>
        <v>6.1987180013429262</v>
      </c>
      <c r="H43" s="406"/>
      <c r="J43" s="12"/>
      <c r="K43" s="12"/>
    </row>
    <row r="44" spans="1:12" ht="24" outlineLevel="1" x14ac:dyDescent="0.2">
      <c r="A44" s="407" t="str">
        <f>'Свод расчетный'!A44</f>
        <v>211, 213</v>
      </c>
      <c r="B44" s="427" t="str">
        <f>'Свод расчетный'!B44</f>
        <v>Планово-финансовый отдел; отдел правовой и кадровой работы</v>
      </c>
      <c r="C44" s="405">
        <f>'Свод расчетный'!C44</f>
        <v>6987623.9517378015</v>
      </c>
      <c r="D44" s="406">
        <f>C44*$D$4</f>
        <v>4583881.3123399979</v>
      </c>
      <c r="E44" s="504"/>
      <c r="F44" s="437">
        <f t="shared" si="12"/>
        <v>17.283782278219014</v>
      </c>
      <c r="G44" s="437">
        <f t="shared" si="13"/>
        <v>16.725648162429799</v>
      </c>
      <c r="H44" s="406"/>
    </row>
    <row r="45" spans="1:12" outlineLevel="1" x14ac:dyDescent="0.2">
      <c r="A45" s="407" t="str">
        <f>'Свод расчетный'!A46</f>
        <v>211, 213</v>
      </c>
      <c r="B45" s="427" t="str">
        <f>'Свод расчетный'!B46</f>
        <v>Основной персонал</v>
      </c>
      <c r="C45" s="405">
        <f>'Свод расчетный'!C46</f>
        <v>19861592.016804446</v>
      </c>
      <c r="D45" s="406">
        <f>C45*$D$4</f>
        <v>13029204.363023717</v>
      </c>
      <c r="E45" s="504"/>
      <c r="F45" s="437">
        <f t="shared" si="12"/>
        <v>49.127347792075639</v>
      </c>
      <c r="G45" s="437">
        <f t="shared" si="13"/>
        <v>47.540909801847448</v>
      </c>
      <c r="H45" s="420"/>
      <c r="J45" s="12"/>
      <c r="L45" s="12"/>
    </row>
    <row r="46" spans="1:12" ht="24" outlineLevel="1" x14ac:dyDescent="0.2">
      <c r="A46" s="407" t="str">
        <f>'Свод расчетный'!A47</f>
        <v>211, 213</v>
      </c>
      <c r="B46" s="427" t="str">
        <f>'Свод расчетный'!B47</f>
        <v>Отдел транспортного обеспечения, административно-хозяйственный отдел</v>
      </c>
      <c r="C46" s="405">
        <f>'Свод расчетный'!C47</f>
        <v>8304108.0998818548</v>
      </c>
      <c r="D46" s="406">
        <f>C46*$D$4</f>
        <v>5447494.9135224968</v>
      </c>
      <c r="E46" s="504"/>
      <c r="F46" s="437">
        <f t="shared" si="12"/>
        <v>20.540085929704098</v>
      </c>
      <c r="G46" s="437">
        <f t="shared" si="13"/>
        <v>19.876798084829023</v>
      </c>
      <c r="H46" s="406"/>
      <c r="I46" s="12">
        <f>C47-'Свод расчетный'!C48</f>
        <v>0</v>
      </c>
      <c r="L46" s="12"/>
    </row>
    <row r="47" spans="1:12" ht="13.5" x14ac:dyDescent="0.2">
      <c r="A47" s="407"/>
      <c r="B47" s="428"/>
      <c r="C47" s="429">
        <f>SUM(C43:C46)</f>
        <v>37743018.049524784</v>
      </c>
      <c r="D47" s="429">
        <f>SUM(D43:D46)</f>
        <v>24759419.840488259</v>
      </c>
      <c r="E47" s="938"/>
      <c r="F47" s="429">
        <f>SUM(F43:F46)</f>
        <v>93.356784938124974</v>
      </c>
      <c r="G47" s="429">
        <f>SUM(G43:G46)</f>
        <v>90.342074050449199</v>
      </c>
      <c r="H47" s="429">
        <f>SUM(H43:H46)</f>
        <v>0</v>
      </c>
      <c r="I47" s="12">
        <f>C47*$D$4</f>
        <v>24759419.840488259</v>
      </c>
      <c r="J47" s="12">
        <f>I47-D47</f>
        <v>0</v>
      </c>
      <c r="L47" s="12"/>
    </row>
    <row r="48" spans="1:12" ht="13.5" x14ac:dyDescent="0.25">
      <c r="A48" s="994" t="s">
        <v>96</v>
      </c>
      <c r="B48" s="994"/>
      <c r="C48" s="994"/>
      <c r="D48" s="994"/>
      <c r="E48" s="996"/>
      <c r="F48" s="994"/>
      <c r="G48" s="994"/>
      <c r="H48" s="440"/>
      <c r="L48" s="12"/>
    </row>
    <row r="49" spans="1:12" outlineLevel="1" x14ac:dyDescent="0.2">
      <c r="A49" s="407">
        <f>'Свод расчетный'!A50</f>
        <v>224</v>
      </c>
      <c r="B49" s="411" t="str">
        <f>'Свод расчетный'!B50</f>
        <v>Аренда помещений</v>
      </c>
      <c r="C49" s="439">
        <f>'Свод расчетный'!C50</f>
        <v>0</v>
      </c>
      <c r="D49" s="406">
        <f t="shared" ref="D49:D67" si="14">C49*$D$4</f>
        <v>0</v>
      </c>
      <c r="E49" s="504"/>
      <c r="F49" s="437">
        <f t="shared" ref="F49:F84" si="15">D49/$F$4</f>
        <v>0</v>
      </c>
      <c r="G49" s="437">
        <f t="shared" ref="G49:G84" si="16">D49/$G$4</f>
        <v>0</v>
      </c>
      <c r="H49" s="406"/>
    </row>
    <row r="50" spans="1:12" outlineLevel="1" x14ac:dyDescent="0.2">
      <c r="A50" s="407">
        <f>'Свод расчетный'!A51</f>
        <v>225</v>
      </c>
      <c r="B50" s="411" t="str">
        <f>'Свод расчетный'!B51</f>
        <v>Ремонт офисной техники</v>
      </c>
      <c r="C50" s="439">
        <f>'Свод расчетный'!C51</f>
        <v>120000</v>
      </c>
      <c r="D50" s="406">
        <f t="shared" si="14"/>
        <v>78720</v>
      </c>
      <c r="E50" s="504"/>
      <c r="F50" s="437">
        <f t="shared" si="15"/>
        <v>0.29681818708496333</v>
      </c>
      <c r="G50" s="437">
        <f>H50</f>
        <v>0.27857400683695355</v>
      </c>
      <c r="H50" s="406">
        <f t="shared" ref="H50" si="17">D50/$H$4</f>
        <v>0.27857400683695355</v>
      </c>
      <c r="I50" s="9" t="s">
        <v>1403</v>
      </c>
      <c r="L50" s="12"/>
    </row>
    <row r="51" spans="1:12" outlineLevel="1" x14ac:dyDescent="0.2">
      <c r="A51" s="407">
        <f>'Свод расчетный'!A52</f>
        <v>226</v>
      </c>
      <c r="B51" s="411" t="str">
        <f>'Свод расчетный'!B52</f>
        <v>Обслуживание комьютерной техники</v>
      </c>
      <c r="C51" s="439">
        <f>'Свод расчетный'!C52</f>
        <v>16000</v>
      </c>
      <c r="D51" s="406">
        <f t="shared" si="14"/>
        <v>10496</v>
      </c>
      <c r="E51" s="504"/>
      <c r="F51" s="437">
        <f t="shared" si="15"/>
        <v>3.9575758277995109E-2</v>
      </c>
      <c r="G51" s="437">
        <f t="shared" si="16"/>
        <v>3.8297763652882733E-2</v>
      </c>
      <c r="H51" s="406"/>
    </row>
    <row r="52" spans="1:12" outlineLevel="1" x14ac:dyDescent="0.2">
      <c r="A52" s="407">
        <f>'Свод расчетный'!A53</f>
        <v>226</v>
      </c>
      <c r="B52" s="411" t="str">
        <f>'Свод расчетный'!B53</f>
        <v>Обслуживание баз данных, сайта</v>
      </c>
      <c r="C52" s="439">
        <f>'Свод расчетный'!C53</f>
        <v>416924.4</v>
      </c>
      <c r="D52" s="406">
        <f t="shared" si="14"/>
        <v>273502.40640000004</v>
      </c>
      <c r="E52" s="504"/>
      <c r="F52" s="437">
        <f t="shared" si="15"/>
        <v>1.0312562046623841</v>
      </c>
      <c r="G52" s="437">
        <f t="shared" si="16"/>
        <v>0.99795450826999643</v>
      </c>
      <c r="H52" s="406"/>
    </row>
    <row r="53" spans="1:12" outlineLevel="1" x14ac:dyDescent="0.2">
      <c r="A53" s="407" t="str">
        <f>'Свод расчетный'!A54</f>
        <v>225, 226</v>
      </c>
      <c r="B53" s="411" t="str">
        <f>'Свод расчетный'!B54</f>
        <v>Обслуживание, ремонт  кассовых аппаратов; Такском</v>
      </c>
      <c r="C53" s="439">
        <f>'Свод расчетный'!C54</f>
        <v>0</v>
      </c>
      <c r="D53" s="406">
        <f t="shared" si="14"/>
        <v>0</v>
      </c>
      <c r="E53" s="504"/>
      <c r="F53" s="437">
        <f t="shared" si="15"/>
        <v>0</v>
      </c>
      <c r="G53" s="437">
        <f t="shared" si="16"/>
        <v>0</v>
      </c>
      <c r="H53" s="406"/>
    </row>
    <row r="54" spans="1:12" outlineLevel="1" x14ac:dyDescent="0.2">
      <c r="A54" s="407">
        <f>'Свод расчетный'!A55</f>
        <v>226</v>
      </c>
      <c r="B54" s="411" t="str">
        <f>'Свод расчетный'!B55</f>
        <v>Доступ к системе AnimalFace</v>
      </c>
      <c r="C54" s="439">
        <f>'Свод расчетный'!C55</f>
        <v>0</v>
      </c>
      <c r="D54" s="406">
        <f t="shared" si="14"/>
        <v>0</v>
      </c>
      <c r="E54" s="504"/>
      <c r="F54" s="437">
        <f t="shared" si="15"/>
        <v>0</v>
      </c>
      <c r="G54" s="437">
        <f t="shared" si="16"/>
        <v>0</v>
      </c>
      <c r="H54" s="406"/>
    </row>
    <row r="55" spans="1:12" outlineLevel="1" x14ac:dyDescent="0.2">
      <c r="A55" s="407">
        <f>'Свод расчетный'!A56</f>
        <v>227</v>
      </c>
      <c r="B55" s="411" t="str">
        <f>'Свод расчетный'!B56</f>
        <v>Страхование имущества, оборудования</v>
      </c>
      <c r="C55" s="439">
        <f>'Свод расчетный'!C56</f>
        <v>52000</v>
      </c>
      <c r="D55" s="406">
        <f t="shared" si="14"/>
        <v>34112</v>
      </c>
      <c r="E55" s="504"/>
      <c r="F55" s="437">
        <f t="shared" si="15"/>
        <v>0.12862121440348412</v>
      </c>
      <c r="G55" s="437">
        <f t="shared" si="16"/>
        <v>0.12446773187186888</v>
      </c>
      <c r="H55" s="406"/>
    </row>
    <row r="56" spans="1:12" outlineLevel="1" x14ac:dyDescent="0.2">
      <c r="A56" s="407">
        <f>'Свод расчетный'!A57</f>
        <v>227</v>
      </c>
      <c r="B56" s="411" t="str">
        <f>'Свод расчетный'!B57</f>
        <v>Страхование работников (клещ)</v>
      </c>
      <c r="C56" s="439">
        <f>'Свод расчетный'!C57</f>
        <v>0</v>
      </c>
      <c r="D56" s="406">
        <f t="shared" si="14"/>
        <v>0</v>
      </c>
      <c r="E56" s="504"/>
      <c r="F56" s="437">
        <f t="shared" si="15"/>
        <v>0</v>
      </c>
      <c r="G56" s="437">
        <f t="shared" si="16"/>
        <v>0</v>
      </c>
      <c r="H56" s="406"/>
    </row>
    <row r="57" spans="1:12" outlineLevel="1" x14ac:dyDescent="0.2">
      <c r="A57" s="407">
        <f>'Свод расчетный'!A58</f>
        <v>226</v>
      </c>
      <c r="B57" s="411" t="str">
        <f>'Свод расчетный'!B58</f>
        <v>Курсы повышения квалификации</v>
      </c>
      <c r="C57" s="439">
        <f>'Свод расчетный'!C58</f>
        <v>0</v>
      </c>
      <c r="D57" s="406">
        <f t="shared" si="14"/>
        <v>0</v>
      </c>
      <c r="E57" s="504"/>
      <c r="F57" s="437">
        <f t="shared" si="15"/>
        <v>0</v>
      </c>
      <c r="G57" s="437">
        <f t="shared" si="16"/>
        <v>0</v>
      </c>
      <c r="H57" s="406"/>
    </row>
    <row r="58" spans="1:12" outlineLevel="1" x14ac:dyDescent="0.2">
      <c r="A58" s="407">
        <f>'Свод расчетный'!A59</f>
        <v>226</v>
      </c>
      <c r="B58" s="411" t="str">
        <f>'Свод расчетный'!B59</f>
        <v>Медицинские периодические осмотры</v>
      </c>
      <c r="C58" s="439">
        <f>'Свод расчетный'!C59</f>
        <v>577200</v>
      </c>
      <c r="D58" s="406">
        <f t="shared" si="14"/>
        <v>378643.20000000001</v>
      </c>
      <c r="E58" s="504"/>
      <c r="F58" s="437">
        <f t="shared" si="15"/>
        <v>1.4276954798786736</v>
      </c>
      <c r="G58" s="437">
        <f t="shared" si="16"/>
        <v>1.3815918237777445</v>
      </c>
      <c r="H58" s="406"/>
    </row>
    <row r="59" spans="1:12" outlineLevel="1" x14ac:dyDescent="0.2">
      <c r="A59" s="407">
        <f>'Свод расчетный'!A60</f>
        <v>226</v>
      </c>
      <c r="B59" s="411" t="str">
        <f>'Свод расчетный'!B60</f>
        <v>Проверка лок.смет, изготовление энергетич.паспортов</v>
      </c>
      <c r="C59" s="439">
        <f>'Свод расчетный'!C60</f>
        <v>175700</v>
      </c>
      <c r="D59" s="406">
        <f t="shared" si="14"/>
        <v>115259.20000000001</v>
      </c>
      <c r="E59" s="504"/>
      <c r="F59" s="437">
        <f t="shared" si="15"/>
        <v>0.43459129559023385</v>
      </c>
      <c r="G59" s="437">
        <f t="shared" si="16"/>
        <v>0.42055731711321853</v>
      </c>
      <c r="H59" s="406"/>
    </row>
    <row r="60" spans="1:12" outlineLevel="1" x14ac:dyDescent="0.2">
      <c r="A60" s="407">
        <f>'Свод расчетный'!A61</f>
        <v>226</v>
      </c>
      <c r="B60" s="411" t="str">
        <f>'Свод расчетный'!B61</f>
        <v>Реклама на ТВ</v>
      </c>
      <c r="C60" s="439">
        <f>'Свод расчетный'!C61</f>
        <v>0</v>
      </c>
      <c r="D60" s="406">
        <f>C60*$D$4</f>
        <v>0</v>
      </c>
      <c r="E60" s="504"/>
      <c r="F60" s="437">
        <f t="shared" si="15"/>
        <v>0</v>
      </c>
      <c r="G60" s="437">
        <f t="shared" si="16"/>
        <v>0</v>
      </c>
      <c r="H60" s="406"/>
    </row>
    <row r="61" spans="1:12" outlineLevel="1" x14ac:dyDescent="0.2">
      <c r="A61" s="407">
        <f>'Свод расчетный'!A62</f>
        <v>226</v>
      </c>
      <c r="B61" s="411" t="str">
        <f>'Свод расчетный'!B62</f>
        <v>Оплата за атостоянку</v>
      </c>
      <c r="C61" s="439">
        <f>'Свод расчетный'!C62</f>
        <v>15000</v>
      </c>
      <c r="D61" s="406">
        <f t="shared" si="14"/>
        <v>9840</v>
      </c>
      <c r="E61" s="504"/>
      <c r="F61" s="437">
        <f t="shared" si="15"/>
        <v>3.7102273385620416E-2</v>
      </c>
      <c r="G61" s="437">
        <f t="shared" si="16"/>
        <v>3.5904153424577562E-2</v>
      </c>
      <c r="H61" s="406"/>
    </row>
    <row r="62" spans="1:12" outlineLevel="1" x14ac:dyDescent="0.2">
      <c r="A62" s="407">
        <f>'Свод расчетный'!A63</f>
        <v>226</v>
      </c>
      <c r="B62" s="411" t="str">
        <f>'Свод расчетный'!B63</f>
        <v>Лабораторные исследования</v>
      </c>
      <c r="C62" s="439">
        <f>'Свод расчетный'!C63</f>
        <v>0</v>
      </c>
      <c r="D62" s="406">
        <f t="shared" si="14"/>
        <v>0</v>
      </c>
      <c r="E62" s="504"/>
      <c r="F62" s="437">
        <f t="shared" si="15"/>
        <v>0</v>
      </c>
      <c r="G62" s="437">
        <f t="shared" si="16"/>
        <v>0</v>
      </c>
      <c r="H62" s="406"/>
    </row>
    <row r="63" spans="1:12" outlineLevel="1" x14ac:dyDescent="0.2">
      <c r="A63" s="407">
        <f>'Свод расчетный'!A64</f>
        <v>226</v>
      </c>
      <c r="B63" s="411" t="str">
        <f>'Свод расчетный'!B64</f>
        <v>Пользованеие конструктивными элементами здания</v>
      </c>
      <c r="C63" s="439">
        <f>'Свод расчетный'!C64</f>
        <v>0</v>
      </c>
      <c r="D63" s="406">
        <f t="shared" si="14"/>
        <v>0</v>
      </c>
      <c r="E63" s="504"/>
      <c r="F63" s="437">
        <f t="shared" si="15"/>
        <v>0</v>
      </c>
      <c r="G63" s="437">
        <f t="shared" si="16"/>
        <v>0</v>
      </c>
      <c r="H63" s="406"/>
    </row>
    <row r="64" spans="1:12" outlineLevel="1" x14ac:dyDescent="0.2">
      <c r="A64" s="407">
        <f>'Свод расчетный'!A65</f>
        <v>226</v>
      </c>
      <c r="B64" s="411" t="str">
        <f>'Свод расчетный'!B65</f>
        <v>Услуги банка</v>
      </c>
      <c r="C64" s="439">
        <f>'Свод расчетный'!C65</f>
        <v>100000</v>
      </c>
      <c r="D64" s="406">
        <f t="shared" si="14"/>
        <v>65600</v>
      </c>
      <c r="E64" s="504"/>
      <c r="F64" s="437">
        <f t="shared" si="15"/>
        <v>0.24734848923746944</v>
      </c>
      <c r="G64" s="437">
        <f>H64</f>
        <v>0.23214500569746127</v>
      </c>
      <c r="H64" s="406">
        <f t="shared" ref="H64:H65" si="18">D64/$H$4</f>
        <v>0.23214500569746127</v>
      </c>
      <c r="I64" s="12"/>
    </row>
    <row r="65" spans="1:8" outlineLevel="1" x14ac:dyDescent="0.2">
      <c r="A65" s="407" t="str">
        <f>'Свод расчетный'!A66</f>
        <v>290, 291</v>
      </c>
      <c r="B65" s="411" t="str">
        <f>'Свод расчетный'!B66</f>
        <v>Прочие налоги и сборы</v>
      </c>
      <c r="C65" s="439">
        <f>'Свод расчетный'!C66</f>
        <v>137873.5</v>
      </c>
      <c r="D65" s="406">
        <f t="shared" si="14"/>
        <v>90445.016000000003</v>
      </c>
      <c r="E65" s="504"/>
      <c r="F65" s="437">
        <f t="shared" si="15"/>
        <v>0.34102801930882243</v>
      </c>
      <c r="G65" s="437">
        <f>H65</f>
        <v>0.32006644443028925</v>
      </c>
      <c r="H65" s="406">
        <f t="shared" si="18"/>
        <v>0.32006644443028925</v>
      </c>
    </row>
    <row r="66" spans="1:8" outlineLevel="1" x14ac:dyDescent="0.2">
      <c r="A66" s="407">
        <f>'Свод расчетный'!A67</f>
        <v>291</v>
      </c>
      <c r="B66" s="411" t="str">
        <f>'Свод расчетный'!B67</f>
        <v>Транспортный и земельный налоги</v>
      </c>
      <c r="C66" s="439">
        <f>'Свод расчетный'!C67</f>
        <v>508769.5</v>
      </c>
      <c r="D66" s="406">
        <f t="shared" si="14"/>
        <v>333752.79200000002</v>
      </c>
      <c r="E66" s="504"/>
      <c r="F66" s="437">
        <f t="shared" si="15"/>
        <v>1.2584336719510272</v>
      </c>
      <c r="G66" s="437">
        <f t="shared" si="16"/>
        <v>1.2177958790497077</v>
      </c>
      <c r="H66" s="406"/>
    </row>
    <row r="67" spans="1:8" outlineLevel="1" x14ac:dyDescent="0.2">
      <c r="A67" s="407">
        <f>'Свод расчетный'!A68</f>
        <v>310</v>
      </c>
      <c r="B67" s="411" t="str">
        <f>'Свод расчетный'!B68</f>
        <v>Затраты на приобретение основных средств</v>
      </c>
      <c r="C67" s="439">
        <f>'Свод расчетный'!C68</f>
        <v>0</v>
      </c>
      <c r="D67" s="406">
        <f t="shared" si="14"/>
        <v>0</v>
      </c>
      <c r="E67" s="504"/>
      <c r="F67" s="437">
        <f t="shared" si="15"/>
        <v>0</v>
      </c>
      <c r="G67" s="437">
        <f t="shared" si="16"/>
        <v>0</v>
      </c>
      <c r="H67" s="406"/>
    </row>
    <row r="68" spans="1:8" outlineLevel="1" x14ac:dyDescent="0.2">
      <c r="A68" s="407">
        <f>'Свод расчетный'!A71</f>
        <v>346</v>
      </c>
      <c r="B68" s="411" t="str">
        <f>'Свод расчетный'!B71</f>
        <v>Приобретение катриджей, зап.части ЭВМ</v>
      </c>
      <c r="C68" s="439">
        <f>'Свод расчетный'!C71</f>
        <v>130000</v>
      </c>
      <c r="D68" s="406">
        <f t="shared" ref="D68:D79" si="19">C68*$D$4</f>
        <v>85280</v>
      </c>
      <c r="E68" s="504"/>
      <c r="F68" s="437">
        <f t="shared" si="15"/>
        <v>0.32155303600871027</v>
      </c>
      <c r="G68" s="437">
        <f t="shared" si="16"/>
        <v>0.3111693296796722</v>
      </c>
      <c r="H68" s="406"/>
    </row>
    <row r="69" spans="1:8" outlineLevel="1" x14ac:dyDescent="0.2">
      <c r="A69" s="407">
        <f>'Свод расчетный'!A72</f>
        <v>225</v>
      </c>
      <c r="B69" s="411" t="str">
        <f>'Свод расчетный'!B72</f>
        <v>Стирка белья</v>
      </c>
      <c r="C69" s="439">
        <f>'Свод расчетный'!C72</f>
        <v>10000</v>
      </c>
      <c r="D69" s="406">
        <f t="shared" si="19"/>
        <v>6560</v>
      </c>
      <c r="E69" s="504"/>
      <c r="F69" s="437">
        <f t="shared" si="15"/>
        <v>2.4734848923746944E-2</v>
      </c>
      <c r="G69" s="437">
        <f t="shared" si="16"/>
        <v>2.3936102283051708E-2</v>
      </c>
      <c r="H69" s="406"/>
    </row>
    <row r="70" spans="1:8" ht="25.5" outlineLevel="1" x14ac:dyDescent="0.2">
      <c r="A70" s="407">
        <f>'Свод расчетный'!A73</f>
        <v>225</v>
      </c>
      <c r="B70" s="411" t="str">
        <f>'Свод расчетный'!B73</f>
        <v>Поверка, калибровка, сличительные испытания оборудования</v>
      </c>
      <c r="C70" s="439">
        <f>'Свод расчетный'!C73</f>
        <v>489424</v>
      </c>
      <c r="D70" s="406">
        <f t="shared" si="19"/>
        <v>321062.14400000003</v>
      </c>
      <c r="E70" s="504"/>
      <c r="F70" s="437">
        <f t="shared" si="15"/>
        <v>1.2105828699655925</v>
      </c>
      <c r="G70" s="437">
        <f t="shared" si="16"/>
        <v>1.1714902923780299</v>
      </c>
      <c r="H70" s="406"/>
    </row>
    <row r="71" spans="1:8" outlineLevel="1" x14ac:dyDescent="0.2">
      <c r="A71" s="407">
        <f>'Свод расчетный'!A74</f>
        <v>346</v>
      </c>
      <c r="B71" s="411" t="str">
        <f>'Свод расчетный'!B74</f>
        <v>Канцтовары, хоз.товары</v>
      </c>
      <c r="C71" s="439">
        <f>'Свод расчетный'!C74</f>
        <v>500000</v>
      </c>
      <c r="D71" s="406">
        <f t="shared" si="19"/>
        <v>328000</v>
      </c>
      <c r="E71" s="504"/>
      <c r="F71" s="437">
        <f t="shared" si="15"/>
        <v>1.2367424461873473</v>
      </c>
      <c r="G71" s="437">
        <f t="shared" si="16"/>
        <v>1.1968051141525853</v>
      </c>
      <c r="H71" s="406"/>
    </row>
    <row r="72" spans="1:8" outlineLevel="1" x14ac:dyDescent="0.2">
      <c r="A72" s="407">
        <f>'Свод расчетный'!A75</f>
        <v>346</v>
      </c>
      <c r="B72" s="411" t="str">
        <f>'Свод расчетный'!B75</f>
        <v>Дрова (Калевала, Пряжа, Лоухи)</v>
      </c>
      <c r="C72" s="439">
        <f>'Свод расчетный'!C75</f>
        <v>94800</v>
      </c>
      <c r="D72" s="406">
        <f t="shared" si="19"/>
        <v>62188.800000000003</v>
      </c>
      <c r="E72" s="504"/>
      <c r="F72" s="437">
        <f t="shared" si="15"/>
        <v>0.23448636779712104</v>
      </c>
      <c r="G72" s="437">
        <f t="shared" si="16"/>
        <v>0.22691424964333021</v>
      </c>
      <c r="H72" s="406"/>
    </row>
    <row r="73" spans="1:8" outlineLevel="1" x14ac:dyDescent="0.2">
      <c r="A73" s="407">
        <f>'Свод расчетный'!A76</f>
        <v>341</v>
      </c>
      <c r="B73" s="411" t="str">
        <f>'Свод расчетный'!B76</f>
        <v>Медицинские средства</v>
      </c>
      <c r="C73" s="439">
        <f>'Свод расчетный'!C76</f>
        <v>0</v>
      </c>
      <c r="D73" s="406">
        <f t="shared" si="19"/>
        <v>0</v>
      </c>
      <c r="E73" s="504"/>
      <c r="F73" s="437">
        <f t="shared" si="15"/>
        <v>0</v>
      </c>
      <c r="G73" s="437">
        <f t="shared" si="16"/>
        <v>0</v>
      </c>
      <c r="H73" s="406"/>
    </row>
    <row r="74" spans="1:8" outlineLevel="1" x14ac:dyDescent="0.2">
      <c r="A74" s="407">
        <f>'Свод расчетный'!A77</f>
        <v>341</v>
      </c>
      <c r="B74" s="411" t="str">
        <f>'Свод расчетный'!B77</f>
        <v>Ветеринарные препараты</v>
      </c>
      <c r="C74" s="439">
        <f>'Свод расчетный'!C77</f>
        <v>0</v>
      </c>
      <c r="D74" s="406">
        <f t="shared" si="19"/>
        <v>0</v>
      </c>
      <c r="E74" s="504"/>
      <c r="F74" s="437">
        <f t="shared" si="15"/>
        <v>0</v>
      </c>
      <c r="G74" s="437">
        <f t="shared" si="16"/>
        <v>0</v>
      </c>
      <c r="H74" s="406"/>
    </row>
    <row r="75" spans="1:8" outlineLevel="1" x14ac:dyDescent="0.2">
      <c r="A75" s="407">
        <f>'Свод расчетный'!A79</f>
        <v>342</v>
      </c>
      <c r="B75" s="411" t="str">
        <f>'Свод расчетный'!B79</f>
        <v>Молоко</v>
      </c>
      <c r="C75" s="439">
        <f>'Свод расчетный'!C79</f>
        <v>200000</v>
      </c>
      <c r="D75" s="406">
        <f t="shared" si="19"/>
        <v>131200</v>
      </c>
      <c r="E75" s="504"/>
      <c r="F75" s="437">
        <f t="shared" si="15"/>
        <v>0.49469697847493888</v>
      </c>
      <c r="G75" s="437">
        <f t="shared" si="16"/>
        <v>0.47872204566103416</v>
      </c>
      <c r="H75" s="406"/>
    </row>
    <row r="76" spans="1:8" outlineLevel="1" x14ac:dyDescent="0.2">
      <c r="A76" s="407">
        <f>'Свод расчетный'!A81</f>
        <v>341</v>
      </c>
      <c r="B76" s="411" t="str">
        <f>'Свод расчетный'!B81</f>
        <v>Микрочипы</v>
      </c>
      <c r="C76" s="439">
        <f>'Свод расчетный'!C81</f>
        <v>0</v>
      </c>
      <c r="D76" s="406">
        <f t="shared" si="19"/>
        <v>0</v>
      </c>
      <c r="E76" s="504"/>
      <c r="F76" s="437">
        <f t="shared" si="15"/>
        <v>0</v>
      </c>
      <c r="G76" s="437">
        <f t="shared" si="16"/>
        <v>0</v>
      </c>
      <c r="H76" s="406"/>
    </row>
    <row r="77" spans="1:8" ht="25.5" outlineLevel="1" x14ac:dyDescent="0.2">
      <c r="A77" s="407">
        <f>'Свод расчетный'!A82</f>
        <v>345</v>
      </c>
      <c r="B77" s="411" t="str">
        <f>'Свод расчетный'!B82</f>
        <v>Мягкий инвентарь, спецодежда (водители, электрик, подсоб.рабочий, санитар-водитель)</v>
      </c>
      <c r="C77" s="439">
        <f>'Свод расчетный'!C82</f>
        <v>80000</v>
      </c>
      <c r="D77" s="406">
        <f t="shared" ref="D77" si="20">C77*$D$4</f>
        <v>52480</v>
      </c>
      <c r="E77" s="504"/>
      <c r="F77" s="437">
        <f t="shared" si="15"/>
        <v>0.19787879138997555</v>
      </c>
      <c r="G77" s="437">
        <f t="shared" si="16"/>
        <v>0.19148881826441366</v>
      </c>
      <c r="H77" s="504"/>
    </row>
    <row r="78" spans="1:8" outlineLevel="1" x14ac:dyDescent="0.2">
      <c r="A78" s="407">
        <f>'Свод расчетный'!A84</f>
        <v>214</v>
      </c>
      <c r="B78" s="411" t="str">
        <f>'Свод расчетный'!B84</f>
        <v>Прочие выплаты (проезд к месту отдыха и обрано)</v>
      </c>
      <c r="C78" s="439">
        <f>'Свод расчетный'!C84</f>
        <v>0</v>
      </c>
      <c r="D78" s="406">
        <f t="shared" si="19"/>
        <v>0</v>
      </c>
      <c r="E78" s="504"/>
      <c r="F78" s="437">
        <f t="shared" si="15"/>
        <v>0</v>
      </c>
      <c r="G78" s="437">
        <f t="shared" si="16"/>
        <v>0</v>
      </c>
      <c r="H78" s="406"/>
    </row>
    <row r="79" spans="1:8" ht="25.5" outlineLevel="1" x14ac:dyDescent="0.2">
      <c r="A79" s="407" t="str">
        <f>'Свод расчетный'!A85</f>
        <v>212, 214, 226, 267</v>
      </c>
      <c r="B79" s="411" t="str">
        <f>'Свод расчетный'!B85</f>
        <v>Прочие выплаты (Пособие от 1,5 до 3-х лет, проезд до места работы и обрано, расходы по командировкам)</v>
      </c>
      <c r="C79" s="439">
        <f>'Свод расчетный'!C85</f>
        <v>853601.82236559154</v>
      </c>
      <c r="D79" s="406">
        <f t="shared" si="19"/>
        <v>559962.79547182808</v>
      </c>
      <c r="E79" s="504"/>
      <c r="F79" s="437">
        <f t="shared" si="15"/>
        <v>2.1113712117247982</v>
      </c>
      <c r="G79" s="437">
        <f t="shared" si="16"/>
        <v>2.0431900529142135</v>
      </c>
      <c r="H79" s="406"/>
    </row>
    <row r="80" spans="1:8" outlineLevel="1" x14ac:dyDescent="0.2">
      <c r="A80" s="407">
        <v>226</v>
      </c>
      <c r="B80" s="411" t="s">
        <v>725</v>
      </c>
      <c r="C80" s="439"/>
      <c r="D80" s="940"/>
      <c r="E80" s="406">
        <f>60000-№21!J20-№22!J20-№23!J17-№26!J17-№28!J17+905.42</f>
        <v>56920.42</v>
      </c>
      <c r="F80" s="437">
        <f t="shared" si="15"/>
        <v>0</v>
      </c>
      <c r="G80" s="437">
        <f t="shared" si="16"/>
        <v>0</v>
      </c>
      <c r="H80" s="406">
        <f>E80/$I$4</f>
        <v>65.880115740740735</v>
      </c>
    </row>
    <row r="81" spans="1:10" outlineLevel="1" x14ac:dyDescent="0.2">
      <c r="A81" s="491">
        <v>226</v>
      </c>
      <c r="B81" s="603" t="s">
        <v>1390</v>
      </c>
      <c r="C81" s="941"/>
      <c r="D81" s="940"/>
      <c r="E81" s="504">
        <v>1500</v>
      </c>
      <c r="F81" s="437">
        <f t="shared" si="15"/>
        <v>0</v>
      </c>
      <c r="G81" s="437">
        <f t="shared" si="16"/>
        <v>0</v>
      </c>
      <c r="H81" s="406">
        <f t="shared" ref="H81:H84" si="21">E81/$I$4</f>
        <v>1.7361111111111112</v>
      </c>
    </row>
    <row r="82" spans="1:10" outlineLevel="1" x14ac:dyDescent="0.2">
      <c r="A82" s="491">
        <v>226</v>
      </c>
      <c r="B82" s="603" t="s">
        <v>1389</v>
      </c>
      <c r="C82" s="941"/>
      <c r="D82" s="940"/>
      <c r="E82" s="504">
        <v>232800</v>
      </c>
      <c r="F82" s="437">
        <f t="shared" si="15"/>
        <v>0</v>
      </c>
      <c r="G82" s="437">
        <f t="shared" si="16"/>
        <v>0</v>
      </c>
      <c r="H82" s="406">
        <f t="shared" si="21"/>
        <v>269.44444444444446</v>
      </c>
    </row>
    <row r="83" spans="1:10" ht="25.5" outlineLevel="1" x14ac:dyDescent="0.2">
      <c r="A83" s="407">
        <v>310</v>
      </c>
      <c r="B83" s="411" t="s">
        <v>726</v>
      </c>
      <c r="C83" s="439"/>
      <c r="D83" s="940"/>
      <c r="E83" s="406">
        <f>252260.9-9200</f>
        <v>243060.9</v>
      </c>
      <c r="F83" s="437">
        <f t="shared" si="15"/>
        <v>0</v>
      </c>
      <c r="G83" s="437">
        <f t="shared" si="16"/>
        <v>0</v>
      </c>
      <c r="H83" s="406">
        <f t="shared" si="21"/>
        <v>281.32048611111111</v>
      </c>
    </row>
    <row r="84" spans="1:10" outlineLevel="1" x14ac:dyDescent="0.2">
      <c r="A84" s="407">
        <v>346</v>
      </c>
      <c r="B84" s="411" t="s">
        <v>727</v>
      </c>
      <c r="C84" s="439"/>
      <c r="D84" s="940"/>
      <c r="E84" s="406"/>
      <c r="F84" s="437">
        <f t="shared" si="15"/>
        <v>0</v>
      </c>
      <c r="G84" s="437">
        <f t="shared" si="16"/>
        <v>0</v>
      </c>
      <c r="H84" s="406">
        <f t="shared" si="21"/>
        <v>0</v>
      </c>
      <c r="I84" s="12">
        <f>C85-'Свод расчетный'!C86</f>
        <v>0</v>
      </c>
      <c r="J84" s="9" t="s">
        <v>1398</v>
      </c>
    </row>
    <row r="85" spans="1:10" ht="15" x14ac:dyDescent="0.2">
      <c r="A85" s="407"/>
      <c r="B85" s="431"/>
      <c r="C85" s="441">
        <f>SUM(C49:C84)</f>
        <v>4477293.2223655917</v>
      </c>
      <c r="D85" s="441">
        <f>SUM(D49:D79)</f>
        <v>2937104.3538718284</v>
      </c>
      <c r="E85" s="939">
        <f>SUM(E49:E84)</f>
        <v>534281.31999999995</v>
      </c>
      <c r="F85" s="441">
        <f>SUM(F49:F84)</f>
        <v>11.074517144252905</v>
      </c>
      <c r="G85" s="441">
        <f>SUM(G49:G84)</f>
        <v>10.691070639101032</v>
      </c>
      <c r="H85" s="441">
        <f>SUM(H49:H84)</f>
        <v>619.21194286437208</v>
      </c>
      <c r="I85" s="12">
        <f>C85*$D$4</f>
        <v>2937104.3538718284</v>
      </c>
      <c r="J85" s="12">
        <f>I85-D85</f>
        <v>0</v>
      </c>
    </row>
    <row r="86" spans="1:10" x14ac:dyDescent="0.2">
      <c r="F86" s="74">
        <f>F85+F47+F41+F30+F37+F20+F11</f>
        <v>153.78767659324126</v>
      </c>
      <c r="G86" s="74">
        <f>G85+G47+G41+G30+G37+G20+G11</f>
        <v>148.79568539698172</v>
      </c>
      <c r="H86" s="74">
        <f>H85+H47+H41+H30+H37+H20+H11</f>
        <v>619.21194286437208</v>
      </c>
    </row>
    <row r="87" spans="1:10" x14ac:dyDescent="0.2">
      <c r="C87" s="69">
        <f>C85+C47+C41+C37+C30+C20+C11</f>
        <v>62174496.01869037</v>
      </c>
      <c r="D87" s="69">
        <f>D85-D67-D62+D41+D37+D30+D20-D17+D11</f>
        <v>13058122.845372628</v>
      </c>
      <c r="E87" s="69"/>
    </row>
    <row r="88" spans="1:10" x14ac:dyDescent="0.2">
      <c r="C88" s="69">
        <f>C87-'Свод расчетный'!C87</f>
        <v>0</v>
      </c>
    </row>
    <row r="96" spans="1:10" ht="15" hidden="1" x14ac:dyDescent="0.2">
      <c r="B96" s="54" t="s">
        <v>21</v>
      </c>
      <c r="C96" s="150">
        <v>3.7</v>
      </c>
    </row>
    <row r="97" spans="2:3" ht="15" hidden="1" x14ac:dyDescent="0.2">
      <c r="B97" s="54" t="s">
        <v>22</v>
      </c>
      <c r="C97" s="150">
        <v>3.2</v>
      </c>
    </row>
    <row r="98" spans="2:3" ht="15" hidden="1" x14ac:dyDescent="0.2">
      <c r="B98" s="54" t="s">
        <v>23</v>
      </c>
      <c r="C98" s="150">
        <v>4.1500000000000004</v>
      </c>
    </row>
    <row r="99" spans="2:3" ht="15" hidden="1" x14ac:dyDescent="0.2">
      <c r="B99" s="54" t="s">
        <v>20</v>
      </c>
      <c r="C99" s="150">
        <v>5.4</v>
      </c>
    </row>
    <row r="100" spans="2:3" ht="15" hidden="1" x14ac:dyDescent="0.2">
      <c r="B100" s="54" t="s">
        <v>19</v>
      </c>
      <c r="C100" s="150">
        <v>5.93</v>
      </c>
    </row>
    <row r="101" spans="2:3" ht="15" hidden="1" x14ac:dyDescent="0.2">
      <c r="B101" s="54" t="s">
        <v>24</v>
      </c>
      <c r="C101" s="150">
        <v>5</v>
      </c>
    </row>
    <row r="102" spans="2:3" ht="15" hidden="1" x14ac:dyDescent="0.2">
      <c r="B102" s="54" t="s">
        <v>101</v>
      </c>
      <c r="C102" s="150">
        <v>3.13</v>
      </c>
    </row>
    <row r="103" spans="2:3" ht="15" hidden="1" x14ac:dyDescent="0.2">
      <c r="B103" s="53" t="s">
        <v>102</v>
      </c>
      <c r="C103" s="150">
        <v>700</v>
      </c>
    </row>
    <row r="104" spans="2:3" ht="15" hidden="1" x14ac:dyDescent="0.2">
      <c r="B104" s="53" t="s">
        <v>103</v>
      </c>
      <c r="C104" s="177">
        <f>848.16</f>
        <v>848.16</v>
      </c>
    </row>
    <row r="105" spans="2:3" ht="15" hidden="1" x14ac:dyDescent="0.2">
      <c r="B105" s="53" t="s">
        <v>104</v>
      </c>
      <c r="C105" s="177">
        <v>1175.52</v>
      </c>
    </row>
    <row r="106" spans="2:3" ht="15" hidden="1" x14ac:dyDescent="0.2">
      <c r="B106" s="53" t="s">
        <v>105</v>
      </c>
      <c r="C106" s="177">
        <v>1101.1199999999999</v>
      </c>
    </row>
    <row r="107" spans="2:3" ht="15" hidden="1" x14ac:dyDescent="0.2">
      <c r="B107" s="53" t="s">
        <v>106</v>
      </c>
      <c r="C107" s="177">
        <f>980</f>
        <v>980</v>
      </c>
    </row>
    <row r="108" spans="2:3" ht="15" hidden="1" x14ac:dyDescent="0.2">
      <c r="B108" s="493" t="s">
        <v>349</v>
      </c>
      <c r="C108" s="565" t="e">
        <f>#REF!</f>
        <v>#REF!</v>
      </c>
    </row>
    <row r="109" spans="2:3" ht="15" hidden="1" x14ac:dyDescent="0.2">
      <c r="B109" s="54" t="s">
        <v>149</v>
      </c>
      <c r="C109" s="177">
        <f>55</f>
        <v>55</v>
      </c>
    </row>
    <row r="110" spans="2:3" ht="15" hidden="1" x14ac:dyDescent="0.2">
      <c r="B110" s="54" t="s">
        <v>150</v>
      </c>
      <c r="C110" s="177">
        <v>25</v>
      </c>
    </row>
    <row r="111" spans="2:3" hidden="1" x14ac:dyDescent="0.2"/>
  </sheetData>
  <mergeCells count="9">
    <mergeCell ref="A48:G48"/>
    <mergeCell ref="A31:G31"/>
    <mergeCell ref="A12:G12"/>
    <mergeCell ref="A21:G21"/>
    <mergeCell ref="A1:G1"/>
    <mergeCell ref="A5:B5"/>
    <mergeCell ref="F3:G3"/>
    <mergeCell ref="A38:G38"/>
    <mergeCell ref="A42:G42"/>
  </mergeCells>
  <pageMargins left="0.31496062992125984" right="0.11811023622047245" top="0.74803149606299213" bottom="0.35433070866141736" header="0.31496062992125984" footer="0.31496062992125984"/>
  <pageSetup paperSize="9" scale="79" orientation="portrait" r:id="rId1"/>
  <colBreaks count="1" manualBreakCount="1">
    <brk id="8" max="1048575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7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5" sqref="H25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0.28515625" style="60" hidden="1" customWidth="1"/>
    <col min="11" max="11" width="10" style="60" bestFit="1" customWidth="1"/>
    <col min="12" max="16384" width="8.85546875" style="60"/>
  </cols>
  <sheetData>
    <row r="1" spans="1:10" x14ac:dyDescent="0.25">
      <c r="A1" s="1078" t="s">
        <v>528</v>
      </c>
      <c r="B1" s="1078"/>
      <c r="C1" s="1078"/>
      <c r="D1" s="1078"/>
      <c r="E1" s="1078"/>
      <c r="F1" s="1078"/>
      <c r="G1" s="1078"/>
      <c r="H1" s="1078"/>
      <c r="I1" s="1078"/>
    </row>
    <row r="2" spans="1:10" ht="6" customHeight="1" x14ac:dyDescent="0.25"/>
    <row r="3" spans="1:10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0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634" t="s">
        <v>7</v>
      </c>
      <c r="B5" s="635"/>
      <c r="C5" s="635"/>
      <c r="D5" s="635"/>
      <c r="E5" s="635"/>
      <c r="F5" s="635"/>
      <c r="G5" s="635"/>
      <c r="H5" s="635"/>
      <c r="I5" s="636"/>
    </row>
    <row r="6" spans="1:10" ht="102" outlineLevel="1" x14ac:dyDescent="0.25">
      <c r="A6" s="449" t="s">
        <v>122</v>
      </c>
      <c r="B6" s="147" t="str">
        <f>№10!B6</f>
        <v>Основной персонал (ветеринарные и лабораторные специалисты)</v>
      </c>
      <c r="C6" s="506">
        <f>'ФВ РЦВК'!O16</f>
        <v>3001.68</v>
      </c>
      <c r="D6" s="506">
        <f>'ФВ РЦВК'!G16</f>
        <v>3411</v>
      </c>
      <c r="E6" s="43">
        <v>0.88</v>
      </c>
      <c r="F6" s="506">
        <f>№10!F6</f>
        <v>49567.094099296366</v>
      </c>
      <c r="G6" s="506">
        <f>№10!G6</f>
        <v>260.16000000000003</v>
      </c>
      <c r="H6" s="150">
        <f>E6*G6</f>
        <v>228.94080000000002</v>
      </c>
      <c r="I6" s="151" t="str">
        <f>№10!I6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  <c r="J6" s="59"/>
    </row>
    <row r="7" spans="1:10" x14ac:dyDescent="0.25">
      <c r="A7" s="1130" t="s">
        <v>8</v>
      </c>
      <c r="B7" s="1131"/>
      <c r="C7" s="1131"/>
      <c r="D7" s="1131"/>
      <c r="E7" s="1131"/>
      <c r="F7" s="1131"/>
      <c r="G7" s="1132"/>
      <c r="H7" s="122">
        <f>SUM(H6:H6)</f>
        <v>228.94080000000002</v>
      </c>
      <c r="I7" s="446"/>
    </row>
    <row r="8" spans="1:10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10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0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10" ht="15" customHeight="1" outlineLevel="1" x14ac:dyDescent="0.25">
      <c r="A11" s="19">
        <v>1</v>
      </c>
      <c r="B11" s="147" t="s">
        <v>940</v>
      </c>
      <c r="C11" s="148">
        <f>'МЗ РЦВК'!$C$51*'МЗ РЦВК'!$D$5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102" t="s">
        <v>348</v>
      </c>
    </row>
    <row r="12" spans="1:10" ht="30" outlineLevel="1" x14ac:dyDescent="0.25">
      <c r="A12" s="19">
        <v>2</v>
      </c>
      <c r="B12" s="147" t="s">
        <v>941</v>
      </c>
      <c r="C12" s="148">
        <f>'МЗ РЦВК'!$C$51*'МЗ РЦВК'!$D$6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>E12*G12/F12</f>
        <v>1.3091371259641675</v>
      </c>
      <c r="I12" s="1103"/>
    </row>
    <row r="13" spans="1:10" outlineLevel="1" x14ac:dyDescent="0.25">
      <c r="A13" s="19">
        <v>3</v>
      </c>
      <c r="B13" s="147" t="s">
        <v>942</v>
      </c>
      <c r="C13" s="148">
        <f>'МЗ РЦВК'!$C$51*'МЗ РЦВК'!$D$7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ref="H13:H20" si="2">E13*G13/F13</f>
        <v>6.0781366562622063E-2</v>
      </c>
      <c r="I13" s="1103"/>
    </row>
    <row r="14" spans="1:10" ht="27.75" customHeight="1" outlineLevel="1" x14ac:dyDescent="0.25">
      <c r="A14" s="19">
        <v>4</v>
      </c>
      <c r="B14" s="147" t="s">
        <v>955</v>
      </c>
      <c r="C14" s="148">
        <f>'МЗ РЦВК'!$C$48*'МЗ РЦВК'!$D$8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103"/>
    </row>
    <row r="15" spans="1:10" ht="15" customHeight="1" outlineLevel="1" x14ac:dyDescent="0.25">
      <c r="A15" s="19">
        <v>5</v>
      </c>
      <c r="B15" s="147" t="s">
        <v>943</v>
      </c>
      <c r="C15" s="148">
        <f>'МЗ РЦВК'!$C$50*'МЗ РЦВК'!$D$9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103"/>
    </row>
    <row r="16" spans="1:10" outlineLevel="1" x14ac:dyDescent="0.25">
      <c r="A16" s="19">
        <v>6</v>
      </c>
      <c r="B16" s="147" t="s">
        <v>149</v>
      </c>
      <c r="C16" s="148">
        <f>'МЗ РЦВК'!$C$51*'МЗ РЦВК'!$D$10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103"/>
    </row>
    <row r="17" spans="1:10" outlineLevel="1" x14ac:dyDescent="0.25">
      <c r="A17" s="19">
        <v>7</v>
      </c>
      <c r="B17" s="147" t="s">
        <v>150</v>
      </c>
      <c r="C17" s="148">
        <f>'МЗ РЦВК'!$C$51*'МЗ РЦВК'!$D$11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104"/>
    </row>
    <row r="18" spans="1:10" outlineLevel="1" x14ac:dyDescent="0.25">
      <c r="A18" s="19">
        <v>8</v>
      </c>
      <c r="B18" s="54" t="s">
        <v>393</v>
      </c>
      <c r="C18" s="148">
        <f>D6*2</f>
        <v>6822</v>
      </c>
      <c r="D18" s="509">
        <f>$D$6</f>
        <v>3411</v>
      </c>
      <c r="E18" s="43">
        <f t="shared" ref="E18:E20" si="3">C18/D18</f>
        <v>2</v>
      </c>
      <c r="F18" s="43">
        <v>1</v>
      </c>
      <c r="G18" s="44">
        <f>SUMIF(Лист4!$B$96:$B$110,$B18,Лист4!$C$96:$C$110)</f>
        <v>3.7</v>
      </c>
      <c r="H18" s="121">
        <f t="shared" si="2"/>
        <v>7.4</v>
      </c>
      <c r="I18" s="1102"/>
      <c r="J18" s="631">
        <f>H18*D18</f>
        <v>25241.4</v>
      </c>
    </row>
    <row r="19" spans="1:10" outlineLevel="1" x14ac:dyDescent="0.25">
      <c r="A19" s="19">
        <v>9</v>
      </c>
      <c r="B19" s="54" t="s">
        <v>394</v>
      </c>
      <c r="C19" s="148">
        <f>$D$6</f>
        <v>3411</v>
      </c>
      <c r="D19" s="509">
        <f>$D$6</f>
        <v>3411</v>
      </c>
      <c r="E19" s="43">
        <f t="shared" si="3"/>
        <v>1</v>
      </c>
      <c r="F19" s="43">
        <v>1</v>
      </c>
      <c r="G19" s="44">
        <f>SUMIF(Лист4!$B$96:$B$110,$B19,Лист4!$C$96:$C$110)</f>
        <v>5.4</v>
      </c>
      <c r="H19" s="121">
        <f t="shared" si="2"/>
        <v>5.4</v>
      </c>
      <c r="I19" s="1103"/>
      <c r="J19" s="631">
        <f t="shared" ref="J19:J20" si="4">H19*D19</f>
        <v>18419.400000000001</v>
      </c>
    </row>
    <row r="20" spans="1:10" outlineLevel="1" x14ac:dyDescent="0.25">
      <c r="A20" s="19">
        <v>10</v>
      </c>
      <c r="B20" s="54" t="s">
        <v>395</v>
      </c>
      <c r="C20" s="148">
        <f>$D$6</f>
        <v>3411</v>
      </c>
      <c r="D20" s="509">
        <f>$D$6</f>
        <v>3411</v>
      </c>
      <c r="E20" s="43">
        <f t="shared" si="3"/>
        <v>1</v>
      </c>
      <c r="F20" s="43">
        <v>1</v>
      </c>
      <c r="G20" s="44">
        <f>SUMIF(Лист4!$B$96:$B$110,$B20,Лист4!$C$96:$C$110)</f>
        <v>5.93</v>
      </c>
      <c r="H20" s="121">
        <f t="shared" si="2"/>
        <v>5.93</v>
      </c>
      <c r="I20" s="1103"/>
      <c r="J20" s="631">
        <f t="shared" si="4"/>
        <v>20227.23</v>
      </c>
    </row>
    <row r="21" spans="1:10" x14ac:dyDescent="0.25">
      <c r="A21" s="1120" t="s">
        <v>14</v>
      </c>
      <c r="B21" s="1121"/>
      <c r="C21" s="1121"/>
      <c r="D21" s="1121"/>
      <c r="E21" s="1121"/>
      <c r="F21" s="1121"/>
      <c r="G21" s="1122"/>
      <c r="H21" s="122">
        <f>SUM(H11:H20)</f>
        <v>21.111083641197048</v>
      </c>
      <c r="I21" s="1104"/>
      <c r="J21" s="59">
        <f>SUM(J18:J20)</f>
        <v>63888.03</v>
      </c>
    </row>
    <row r="22" spans="1:10" s="123" customFormat="1" ht="67.5" x14ac:dyDescent="0.25">
      <c r="A22" s="141" t="s">
        <v>0</v>
      </c>
      <c r="B22" s="141" t="s">
        <v>9</v>
      </c>
      <c r="C22" s="637" t="s">
        <v>1278</v>
      </c>
      <c r="D22" s="141" t="s">
        <v>123</v>
      </c>
      <c r="E22" s="141" t="s">
        <v>10</v>
      </c>
      <c r="F22" s="141" t="s">
        <v>15</v>
      </c>
      <c r="G22" s="141" t="s">
        <v>939</v>
      </c>
      <c r="H22" s="141" t="s">
        <v>347</v>
      </c>
      <c r="I22" s="141" t="s">
        <v>4</v>
      </c>
    </row>
    <row r="23" spans="1:10" s="123" customFormat="1" ht="11.25" x14ac:dyDescent="0.25">
      <c r="A23" s="8">
        <v>1</v>
      </c>
      <c r="B23" s="8">
        <v>2</v>
      </c>
      <c r="C23" s="8">
        <v>3</v>
      </c>
      <c r="D23" s="8">
        <v>4</v>
      </c>
      <c r="E23" s="8" t="s">
        <v>5</v>
      </c>
      <c r="F23" s="8">
        <v>6</v>
      </c>
      <c r="G23" s="8">
        <v>7</v>
      </c>
      <c r="H23" s="8" t="s">
        <v>12</v>
      </c>
      <c r="I23" s="8">
        <v>9</v>
      </c>
    </row>
    <row r="24" spans="1:10" x14ac:dyDescent="0.25">
      <c r="A24" s="1117" t="s">
        <v>16</v>
      </c>
      <c r="B24" s="1117"/>
      <c r="C24" s="1117"/>
      <c r="D24" s="1117"/>
      <c r="E24" s="1117"/>
      <c r="F24" s="1117"/>
      <c r="G24" s="1117"/>
      <c r="H24" s="1117"/>
      <c r="I24" s="1117"/>
    </row>
    <row r="25" spans="1:10" outlineLevel="1" x14ac:dyDescent="0.25">
      <c r="A25" s="19">
        <v>1</v>
      </c>
      <c r="B25" s="124" t="s">
        <v>317</v>
      </c>
      <c r="C25" s="148">
        <f>$D$6*E25</f>
        <v>10233</v>
      </c>
      <c r="D25" s="509">
        <f>$D$6</f>
        <v>3411</v>
      </c>
      <c r="E25" s="43">
        <v>3</v>
      </c>
      <c r="F25" s="43">
        <v>1</v>
      </c>
      <c r="G25" s="121">
        <f>№10!G24</f>
        <v>0.5</v>
      </c>
      <c r="H25" s="150">
        <f>C25/D25*G25</f>
        <v>1.5</v>
      </c>
      <c r="I25" s="1118" t="str">
        <f>№10!I24</f>
        <v>стоимость 1 пачки  250 руб, 500 листов</v>
      </c>
    </row>
    <row r="26" spans="1:10" ht="15" customHeight="1" x14ac:dyDescent="0.25">
      <c r="A26" s="1120" t="s">
        <v>17</v>
      </c>
      <c r="B26" s="1121"/>
      <c r="C26" s="1121"/>
      <c r="D26" s="1121"/>
      <c r="E26" s="1121"/>
      <c r="F26" s="1121"/>
      <c r="G26" s="1122"/>
      <c r="H26" s="122">
        <f>SUM(H25:H25)</f>
        <v>1.5</v>
      </c>
      <c r="I26" s="1119"/>
    </row>
    <row r="27" spans="1:10" x14ac:dyDescent="0.25">
      <c r="A27" s="1127" t="s">
        <v>18</v>
      </c>
      <c r="B27" s="1128"/>
      <c r="C27" s="1128"/>
      <c r="D27" s="1128"/>
      <c r="E27" s="1128"/>
      <c r="F27" s="1128"/>
      <c r="G27" s="1129"/>
      <c r="H27" s="498">
        <f>H26+H21+H7</f>
        <v>251.55188364119707</v>
      </c>
      <c r="I27" s="43"/>
    </row>
  </sheetData>
  <mergeCells count="10">
    <mergeCell ref="A1:I1"/>
    <mergeCell ref="A24:I24"/>
    <mergeCell ref="I25:I26"/>
    <mergeCell ref="A26:G26"/>
    <mergeCell ref="A27:G27"/>
    <mergeCell ref="A7:G7"/>
    <mergeCell ref="A10:I10"/>
    <mergeCell ref="A21:G21"/>
    <mergeCell ref="I11:I17"/>
    <mergeCell ref="I18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F38" sqref="F38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529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76.5" x14ac:dyDescent="0.25">
      <c r="A6" s="130" t="s">
        <v>176</v>
      </c>
      <c r="B6" s="131">
        <f>№11!H7</f>
        <v>228.94080000000002</v>
      </c>
      <c r="C6" s="131">
        <f>№11!H21</f>
        <v>21.111083641197048</v>
      </c>
      <c r="D6" s="131">
        <f>№11!H26</f>
        <v>1.5</v>
      </c>
      <c r="E6" s="453">
        <f>'ОХЗ (поГЗ)'!H11</f>
        <v>21.564670816272169</v>
      </c>
      <c r="F6" s="453">
        <f>'ОХЗ (поГЗ)'!H20</f>
        <v>13.501244810169926</v>
      </c>
      <c r="G6" s="453">
        <f>'ОХЗ (поГЗ)'!H30</f>
        <v>9.3003127382069088</v>
      </c>
      <c r="H6" s="453">
        <f>'ОХЗ (поГЗ)'!H37</f>
        <v>3.3832650606612349</v>
      </c>
      <c r="I6" s="453">
        <f>'ОХЗ (поГЗ)'!H41</f>
        <v>1.3047282121264089E-2</v>
      </c>
      <c r="J6" s="453">
        <f>'ОХЗ (поГЗ)'!H47</f>
        <v>90.342074050449199</v>
      </c>
      <c r="K6" s="453">
        <f>'ОХЗ (поГЗ)'!H69</f>
        <v>10.691070639101032</v>
      </c>
      <c r="L6" s="131">
        <f>SUM(B6:K6)</f>
        <v>400.34756903817879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30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6" sqref="H2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0" style="60" hidden="1" customWidth="1"/>
    <col min="11" max="16384" width="8.85546875" style="60"/>
  </cols>
  <sheetData>
    <row r="1" spans="1:10" x14ac:dyDescent="0.25">
      <c r="A1" s="1078" t="s">
        <v>530</v>
      </c>
      <c r="B1" s="1078"/>
      <c r="C1" s="1078"/>
      <c r="D1" s="1078"/>
      <c r="E1" s="1078"/>
      <c r="F1" s="1078"/>
      <c r="G1" s="1078"/>
      <c r="H1" s="1078"/>
      <c r="I1" s="1078"/>
    </row>
    <row r="2" spans="1:10" ht="6" customHeight="1" x14ac:dyDescent="0.25"/>
    <row r="3" spans="1:10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0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0" ht="102" outlineLevel="1" x14ac:dyDescent="0.25">
      <c r="A6" s="14" t="s">
        <v>129</v>
      </c>
      <c r="B6" s="147" t="str">
        <f>№11!B6</f>
        <v>Основной персонал (ветеринарные и лабораторные специалисты)</v>
      </c>
      <c r="C6" s="875">
        <f>'ФВ РЦВК'!O17/1000</f>
        <v>0.43</v>
      </c>
      <c r="D6" s="877">
        <f>'ФВ РЦВК'!G17</f>
        <v>1</v>
      </c>
      <c r="E6" s="878">
        <f>C6/D6</f>
        <v>0.43</v>
      </c>
      <c r="F6" s="875">
        <f>№11!F6</f>
        <v>49567.094099296366</v>
      </c>
      <c r="G6" s="875">
        <f>№11!G6</f>
        <v>260.16000000000003</v>
      </c>
      <c r="H6" s="150">
        <f>E6*G6</f>
        <v>111.86880000000001</v>
      </c>
      <c r="I6" s="151" t="str">
        <f>№11!I6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  <c r="J6" s="59"/>
    </row>
    <row r="7" spans="1:10" x14ac:dyDescent="0.25">
      <c r="A7" s="1006" t="s">
        <v>8</v>
      </c>
      <c r="B7" s="1007"/>
      <c r="C7" s="1007"/>
      <c r="D7" s="1007"/>
      <c r="E7" s="1007"/>
      <c r="F7" s="1007"/>
      <c r="G7" s="1123"/>
      <c r="H7" s="56">
        <f>SUM(H6:H6)</f>
        <v>111.86880000000001</v>
      </c>
      <c r="I7" s="447"/>
    </row>
    <row r="8" spans="1:10" x14ac:dyDescent="0.25">
      <c r="A8" s="40"/>
      <c r="B8" s="41"/>
      <c r="C8" s="41"/>
      <c r="D8" s="41"/>
      <c r="E8" s="41"/>
      <c r="F8" s="41"/>
      <c r="G8" s="41" t="s">
        <v>159</v>
      </c>
      <c r="H8" s="56">
        <f>H7*1000</f>
        <v>111868.8</v>
      </c>
      <c r="I8" s="24"/>
    </row>
    <row r="9" spans="1:10" s="123" customFormat="1" ht="67.5" x14ac:dyDescent="0.25">
      <c r="A9" s="141" t="s">
        <v>0</v>
      </c>
      <c r="B9" s="141" t="s">
        <v>9</v>
      </c>
      <c r="C9" s="153" t="s">
        <v>1278</v>
      </c>
      <c r="D9" s="141" t="s">
        <v>123</v>
      </c>
      <c r="E9" s="141" t="s">
        <v>10</v>
      </c>
      <c r="F9" s="141" t="s">
        <v>11</v>
      </c>
      <c r="G9" s="141" t="s">
        <v>939</v>
      </c>
      <c r="H9" s="141" t="s">
        <v>347</v>
      </c>
      <c r="I9" s="141" t="s">
        <v>4</v>
      </c>
    </row>
    <row r="10" spans="1:10" s="123" customFormat="1" ht="11.25" x14ac:dyDescent="0.25">
      <c r="A10" s="8">
        <v>1</v>
      </c>
      <c r="B10" s="8">
        <v>2</v>
      </c>
      <c r="C10" s="8">
        <v>3</v>
      </c>
      <c r="D10" s="8">
        <v>4</v>
      </c>
      <c r="E10" s="8" t="s">
        <v>5</v>
      </c>
      <c r="F10" s="8">
        <v>6</v>
      </c>
      <c r="G10" s="8">
        <v>7</v>
      </c>
      <c r="H10" s="8" t="s">
        <v>12</v>
      </c>
      <c r="I10" s="8">
        <v>9</v>
      </c>
    </row>
    <row r="11" spans="1:10" x14ac:dyDescent="0.25">
      <c r="A11" s="1082" t="s">
        <v>13</v>
      </c>
      <c r="B11" s="1082"/>
      <c r="C11" s="1082"/>
      <c r="D11" s="1082"/>
      <c r="E11" s="1082"/>
      <c r="F11" s="1082"/>
      <c r="G11" s="1082"/>
      <c r="H11" s="1082"/>
      <c r="I11" s="1082"/>
    </row>
    <row r="12" spans="1:10" ht="15" customHeight="1" outlineLevel="1" x14ac:dyDescent="0.25">
      <c r="A12" s="19">
        <v>1</v>
      </c>
      <c r="B12" s="147" t="s">
        <v>940</v>
      </c>
      <c r="C12" s="148">
        <f>'МЗ РЦВК'!$C$51*'МЗ РЦВК'!$D$5</f>
        <v>248</v>
      </c>
      <c r="D12" s="556">
        <f>№8!D12</f>
        <v>265212.859</v>
      </c>
      <c r="E12" s="43">
        <f>C12/D12</f>
        <v>9.3509794711726252E-4</v>
      </c>
      <c r="F12" s="43">
        <v>1</v>
      </c>
      <c r="G12" s="148">
        <f>SUMIF('МЗ РЦВК'!$B$5:$B$45,$B12,'МЗ РЦВК'!$C$5:$C$45)</f>
        <v>700</v>
      </c>
      <c r="H12" s="121">
        <f>E12*G12/F12</f>
        <v>0.65456856298208377</v>
      </c>
      <c r="I12" s="1102" t="s">
        <v>348</v>
      </c>
    </row>
    <row r="13" spans="1:10" ht="30" outlineLevel="1" x14ac:dyDescent="0.25">
      <c r="A13" s="19">
        <v>2</v>
      </c>
      <c r="B13" s="147" t="s">
        <v>941</v>
      </c>
      <c r="C13" s="148">
        <f>'МЗ РЦВК'!$C$51*'МЗ РЦВК'!$D$6</f>
        <v>248</v>
      </c>
      <c r="D13" s="557">
        <f>$D$12</f>
        <v>265212.859</v>
      </c>
      <c r="E13" s="43">
        <f t="shared" ref="E13:E16" si="0">C13/D13</f>
        <v>9.3509794711726252E-4</v>
      </c>
      <c r="F13" s="43">
        <v>1</v>
      </c>
      <c r="G13" s="148">
        <f>SUMIF('МЗ РЦВК'!$B$5:$B$45,$B13,'МЗ РЦВК'!$C$5:$C$45)</f>
        <v>1400</v>
      </c>
      <c r="H13" s="121">
        <f t="shared" ref="H13:H20" si="1">E13*G13/F13</f>
        <v>1.3091371259641675</v>
      </c>
      <c r="I13" s="1103"/>
    </row>
    <row r="14" spans="1:10" outlineLevel="1" x14ac:dyDescent="0.25">
      <c r="A14" s="19">
        <v>3</v>
      </c>
      <c r="B14" s="147" t="s">
        <v>942</v>
      </c>
      <c r="C14" s="148">
        <f>'МЗ РЦВК'!$C$51*'МЗ РЦВК'!$D$7</f>
        <v>124</v>
      </c>
      <c r="D14" s="557">
        <f t="shared" ref="D14:D18" si="2">$D$12</f>
        <v>265212.859</v>
      </c>
      <c r="E14" s="43">
        <f t="shared" si="0"/>
        <v>4.6754897355863126E-4</v>
      </c>
      <c r="F14" s="43">
        <v>2</v>
      </c>
      <c r="G14" s="148">
        <f>SUMIF('МЗ РЦВК'!$B$5:$B$45,$B14,'МЗ РЦВК'!$C$5:$C$45)</f>
        <v>260</v>
      </c>
      <c r="H14" s="121">
        <f t="shared" si="1"/>
        <v>6.0781366562622063E-2</v>
      </c>
      <c r="I14" s="1103"/>
    </row>
    <row r="15" spans="1:10" ht="27.75" customHeight="1" outlineLevel="1" x14ac:dyDescent="0.25">
      <c r="A15" s="19">
        <v>4</v>
      </c>
      <c r="B15" s="147" t="s">
        <v>955</v>
      </c>
      <c r="C15" s="148">
        <f>'МЗ РЦВК'!$C$48*'МЗ РЦВК'!$D$8</f>
        <v>80</v>
      </c>
      <c r="D15" s="557">
        <f t="shared" si="2"/>
        <v>265212.859</v>
      </c>
      <c r="E15" s="624">
        <f t="shared" si="0"/>
        <v>3.0164449907008468E-4</v>
      </c>
      <c r="F15" s="43">
        <v>2</v>
      </c>
      <c r="G15" s="148">
        <f>SUMIF('МЗ РЦВК'!$B$5:$B$45,$B15,'МЗ РЦВК'!$C$5:$C$45)</f>
        <v>980</v>
      </c>
      <c r="H15" s="121">
        <f t="shared" si="1"/>
        <v>0.1478058045443415</v>
      </c>
      <c r="I15" s="1103"/>
    </row>
    <row r="16" spans="1:10" ht="15" customHeight="1" outlineLevel="1" x14ac:dyDescent="0.25">
      <c r="A16" s="19">
        <v>5</v>
      </c>
      <c r="B16" s="147" t="s">
        <v>943</v>
      </c>
      <c r="C16" s="148">
        <f>'МЗ РЦВК'!$C$50*'МЗ РЦВК'!$D$9</f>
        <v>54</v>
      </c>
      <c r="D16" s="557">
        <f t="shared" si="2"/>
        <v>265212.859</v>
      </c>
      <c r="E16" s="43">
        <f t="shared" si="0"/>
        <v>2.0361003687230717E-4</v>
      </c>
      <c r="F16" s="43">
        <v>1</v>
      </c>
      <c r="G16" s="148">
        <f>SUMIF('МЗ РЦВК'!$B$5:$B$45,$B16,'МЗ РЦВК'!$C$5:$C$45)</f>
        <v>61</v>
      </c>
      <c r="H16" s="121">
        <f t="shared" si="1"/>
        <v>1.2420212249210737E-2</v>
      </c>
      <c r="I16" s="1103"/>
    </row>
    <row r="17" spans="1:10" outlineLevel="1" x14ac:dyDescent="0.25">
      <c r="A17" s="19">
        <v>6</v>
      </c>
      <c r="B17" s="147" t="s">
        <v>149</v>
      </c>
      <c r="C17" s="148">
        <f>'МЗ РЦВК'!$C$51*'МЗ РЦВК'!$D$10</f>
        <v>496</v>
      </c>
      <c r="D17" s="557">
        <f t="shared" si="2"/>
        <v>265212.859</v>
      </c>
      <c r="E17" s="43">
        <f>C17/D17</f>
        <v>1.870195894234525E-3</v>
      </c>
      <c r="F17" s="43">
        <v>1</v>
      </c>
      <c r="G17" s="148">
        <f>SUMIF('МЗ РЦВК'!$B$5:$B$45,$B17,'МЗ РЦВК'!$C$5:$C$45)</f>
        <v>55</v>
      </c>
      <c r="H17" s="121">
        <f t="shared" si="1"/>
        <v>0.10286077418289888</v>
      </c>
      <c r="I17" s="1103"/>
    </row>
    <row r="18" spans="1:10" outlineLevel="1" x14ac:dyDescent="0.25">
      <c r="A18" s="19">
        <v>7</v>
      </c>
      <c r="B18" s="147" t="s">
        <v>150</v>
      </c>
      <c r="C18" s="148">
        <f>'МЗ РЦВК'!$C$51*'МЗ РЦВК'!$D$11</f>
        <v>992</v>
      </c>
      <c r="D18" s="557">
        <f t="shared" si="2"/>
        <v>265212.859</v>
      </c>
      <c r="E18" s="624">
        <f>C18/D18</f>
        <v>3.7403917884690501E-3</v>
      </c>
      <c r="F18" s="43">
        <v>1</v>
      </c>
      <c r="G18" s="148">
        <f>SUMIF('МЗ РЦВК'!$B$5:$B$45,$B18,'МЗ РЦВК'!$C$5:$C$45)</f>
        <v>25</v>
      </c>
      <c r="H18" s="121">
        <f t="shared" si="1"/>
        <v>9.3509794711726255E-2</v>
      </c>
      <c r="I18" s="1104"/>
    </row>
    <row r="19" spans="1:10" outlineLevel="1" x14ac:dyDescent="0.25">
      <c r="A19" s="19">
        <v>8</v>
      </c>
      <c r="B19" s="54" t="s">
        <v>393</v>
      </c>
      <c r="C19" s="510">
        <f>$D$6</f>
        <v>1</v>
      </c>
      <c r="D19" s="511">
        <f>$D$6</f>
        <v>1</v>
      </c>
      <c r="E19" s="121">
        <f t="shared" ref="E19:E20" si="3">C19/D19</f>
        <v>1</v>
      </c>
      <c r="F19" s="43">
        <v>1</v>
      </c>
      <c r="G19" s="148">
        <f>SUMIF('МЗ РЦВК'!$B$5:$B$45,$B19,'МЗ РЦВК'!$C$5:$C$45)</f>
        <v>3.7</v>
      </c>
      <c r="H19" s="121">
        <f t="shared" si="1"/>
        <v>3.7</v>
      </c>
      <c r="I19" s="1102"/>
      <c r="J19" s="631">
        <f>H19*D19</f>
        <v>3.7</v>
      </c>
    </row>
    <row r="20" spans="1:10" outlineLevel="1" x14ac:dyDescent="0.25">
      <c r="A20" s="19">
        <v>9</v>
      </c>
      <c r="B20" s="54" t="s">
        <v>945</v>
      </c>
      <c r="C20" s="510">
        <f>$D$6</f>
        <v>1</v>
      </c>
      <c r="D20" s="511">
        <f>$D$6</f>
        <v>1</v>
      </c>
      <c r="E20" s="121">
        <f t="shared" si="3"/>
        <v>1</v>
      </c>
      <c r="F20" s="43">
        <v>1</v>
      </c>
      <c r="G20" s="148">
        <f>SUMIF('МЗ РЦВК'!$B$5:$B$45,$B20,'МЗ РЦВК'!$C$5:$C$45)</f>
        <v>3.2</v>
      </c>
      <c r="H20" s="121">
        <f t="shared" si="1"/>
        <v>3.2</v>
      </c>
      <c r="I20" s="1103"/>
      <c r="J20" s="631">
        <f>H20*D20</f>
        <v>3.2</v>
      </c>
    </row>
    <row r="21" spans="1:10" x14ac:dyDescent="0.25">
      <c r="A21" s="1120" t="s">
        <v>14</v>
      </c>
      <c r="B21" s="1121"/>
      <c r="C21" s="1121"/>
      <c r="D21" s="1121"/>
      <c r="E21" s="1121"/>
      <c r="F21" s="1121"/>
      <c r="G21" s="1122"/>
      <c r="H21" s="122">
        <f>SUM(H12:H20)</f>
        <v>9.2810836411970499</v>
      </c>
      <c r="I21" s="1103"/>
      <c r="J21" s="631">
        <f>SUM(J19:J20)</f>
        <v>6.9</v>
      </c>
    </row>
    <row r="22" spans="1:10" x14ac:dyDescent="0.25">
      <c r="A22" s="21"/>
      <c r="B22" s="22"/>
      <c r="C22" s="22"/>
      <c r="D22" s="22"/>
      <c r="E22" s="22"/>
      <c r="F22" s="22"/>
      <c r="G22" s="41" t="s">
        <v>159</v>
      </c>
      <c r="H22" s="56">
        <f>H21*1000</f>
        <v>9281.0836411970504</v>
      </c>
      <c r="I22" s="1104"/>
      <c r="J22" s="631">
        <f>J21*1000</f>
        <v>6900</v>
      </c>
    </row>
    <row r="23" spans="1:10" s="123" customFormat="1" ht="67.5" x14ac:dyDescent="0.25">
      <c r="A23" s="141" t="s">
        <v>0</v>
      </c>
      <c r="B23" s="141" t="s">
        <v>9</v>
      </c>
      <c r="C23" s="637" t="s">
        <v>1278</v>
      </c>
      <c r="D23" s="141" t="s">
        <v>123</v>
      </c>
      <c r="E23" s="141" t="s">
        <v>10</v>
      </c>
      <c r="F23" s="141" t="s">
        <v>15</v>
      </c>
      <c r="G23" s="141" t="s">
        <v>939</v>
      </c>
      <c r="H23" s="141" t="s">
        <v>347</v>
      </c>
      <c r="I23" s="141" t="s">
        <v>4</v>
      </c>
    </row>
    <row r="24" spans="1:10" s="123" customFormat="1" ht="11.25" x14ac:dyDescent="0.25">
      <c r="A24" s="8">
        <v>1</v>
      </c>
      <c r="B24" s="8">
        <v>2</v>
      </c>
      <c r="C24" s="8">
        <v>3</v>
      </c>
      <c r="D24" s="8">
        <v>4</v>
      </c>
      <c r="E24" s="8" t="s">
        <v>5</v>
      </c>
      <c r="F24" s="8">
        <v>6</v>
      </c>
      <c r="G24" s="8">
        <v>7</v>
      </c>
      <c r="H24" s="8" t="s">
        <v>12</v>
      </c>
      <c r="I24" s="8">
        <v>9</v>
      </c>
    </row>
    <row r="25" spans="1:10" x14ac:dyDescent="0.25">
      <c r="A25" s="1117" t="s">
        <v>16</v>
      </c>
      <c r="B25" s="1117"/>
      <c r="C25" s="1117"/>
      <c r="D25" s="1117"/>
      <c r="E25" s="1117"/>
      <c r="F25" s="1117"/>
      <c r="G25" s="1117"/>
      <c r="H25" s="1117"/>
      <c r="I25" s="1117"/>
    </row>
    <row r="26" spans="1:10" outlineLevel="1" x14ac:dyDescent="0.25">
      <c r="A26" s="19">
        <v>1</v>
      </c>
      <c r="B26" s="124" t="s">
        <v>317</v>
      </c>
      <c r="C26" s="510">
        <f>$D$6*E26</f>
        <v>1</v>
      </c>
      <c r="D26" s="511">
        <f>$D$6</f>
        <v>1</v>
      </c>
      <c r="E26" s="43">
        <v>1</v>
      </c>
      <c r="F26" s="43">
        <v>1</v>
      </c>
      <c r="G26" s="121">
        <f>№11!G25</f>
        <v>0.5</v>
      </c>
      <c r="H26" s="150">
        <f>C26/D26*G26</f>
        <v>0.5</v>
      </c>
      <c r="I26" s="1118" t="str">
        <f>№11!I25</f>
        <v>стоимость 1 пачки  250 руб, 500 листов</v>
      </c>
    </row>
    <row r="27" spans="1:10" ht="15" customHeight="1" x14ac:dyDescent="0.25">
      <c r="A27" s="1120" t="s">
        <v>17</v>
      </c>
      <c r="B27" s="1121"/>
      <c r="C27" s="1121"/>
      <c r="D27" s="1121"/>
      <c r="E27" s="1121"/>
      <c r="F27" s="1121"/>
      <c r="G27" s="1122"/>
      <c r="H27" s="122">
        <f>SUM(H26:H26)</f>
        <v>0.5</v>
      </c>
      <c r="I27" s="1119"/>
    </row>
    <row r="28" spans="1:10" x14ac:dyDescent="0.25">
      <c r="A28" s="21"/>
      <c r="B28" s="22"/>
      <c r="C28" s="22"/>
      <c r="D28" s="22"/>
      <c r="E28" s="22"/>
      <c r="F28" s="22"/>
      <c r="G28" s="41" t="s">
        <v>159</v>
      </c>
      <c r="H28" s="56">
        <f>H27*1000</f>
        <v>500</v>
      </c>
      <c r="I28" s="42"/>
    </row>
    <row r="29" spans="1:10" x14ac:dyDescent="0.25">
      <c r="A29" s="1127" t="s">
        <v>18</v>
      </c>
      <c r="B29" s="1128"/>
      <c r="C29" s="1128"/>
      <c r="D29" s="1128"/>
      <c r="E29" s="1128"/>
      <c r="F29" s="1128"/>
      <c r="G29" s="1129"/>
      <c r="H29" s="498">
        <f>H27+H21+H7</f>
        <v>121.64988364119705</v>
      </c>
      <c r="I29" s="43"/>
    </row>
    <row r="30" spans="1:10" x14ac:dyDescent="0.25">
      <c r="G30" s="73" t="s">
        <v>159</v>
      </c>
      <c r="H30" s="59">
        <f>H29*1000</f>
        <v>121649.88364119706</v>
      </c>
    </row>
  </sheetData>
  <mergeCells count="10">
    <mergeCell ref="A1:I1"/>
    <mergeCell ref="A25:I25"/>
    <mergeCell ref="I26:I27"/>
    <mergeCell ref="A27:G27"/>
    <mergeCell ref="A29:G29"/>
    <mergeCell ref="A7:G7"/>
    <mergeCell ref="A11:I11"/>
    <mergeCell ref="A21:G21"/>
    <mergeCell ref="I12:I18"/>
    <mergeCell ref="I19:I22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9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531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89.25" x14ac:dyDescent="0.25">
      <c r="A6" s="130" t="s">
        <v>177</v>
      </c>
      <c r="B6" s="133">
        <f>№12!H7*1000</f>
        <v>111868.8</v>
      </c>
      <c r="C6" s="133">
        <f>№12!H21*1000</f>
        <v>9281.0836411970504</v>
      </c>
      <c r="D6" s="133">
        <f>№12!H27*1000</f>
        <v>500</v>
      </c>
      <c r="E6" s="275">
        <f>'ОХЗ (поГЗ)'!H11*1000</f>
        <v>21564.67081627217</v>
      </c>
      <c r="F6" s="275">
        <f>'ОХЗ (поГЗ)'!H20*1000</f>
        <v>13501.244810169926</v>
      </c>
      <c r="G6" s="275">
        <f>'ОХЗ (поГЗ)'!H30*1000</f>
        <v>9300.3127382069088</v>
      </c>
      <c r="H6" s="275">
        <f>'ОХЗ (поГЗ)'!H37*1000</f>
        <v>3383.2650606612351</v>
      </c>
      <c r="I6" s="275">
        <f>'ОХЗ (поГЗ)'!H41*1000</f>
        <v>13.047282121264089</v>
      </c>
      <c r="J6" s="275">
        <f>'ОХЗ (поГЗ)'!H47*1000</f>
        <v>90342.074050449199</v>
      </c>
      <c r="K6" s="275">
        <f>'ОХЗ (поГЗ)'!H69*1000</f>
        <v>10691.070639101032</v>
      </c>
      <c r="L6" s="133">
        <f>SUM(B6:K6)</f>
        <v>270445.56903817883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31496062992125984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30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21" sqref="H21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1.5703125" style="60" hidden="1" customWidth="1"/>
    <col min="11" max="16384" width="8.85546875" style="60"/>
  </cols>
  <sheetData>
    <row r="1" spans="1:10" x14ac:dyDescent="0.25">
      <c r="A1" s="1078" t="s">
        <v>532</v>
      </c>
      <c r="B1" s="1078"/>
      <c r="C1" s="1078"/>
      <c r="D1" s="1078"/>
      <c r="E1" s="1078"/>
      <c r="F1" s="1078"/>
      <c r="G1" s="1078"/>
      <c r="H1" s="1078"/>
      <c r="I1" s="1078"/>
    </row>
    <row r="2" spans="1:10" ht="6" customHeight="1" x14ac:dyDescent="0.25"/>
    <row r="3" spans="1:10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0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0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0" ht="102" outlineLevel="1" x14ac:dyDescent="0.25">
      <c r="A6" s="14" t="s">
        <v>129</v>
      </c>
      <c r="B6" s="147" t="str">
        <f>№12!B6</f>
        <v>Основной персонал (ветеринарные и лабораторные специалисты)</v>
      </c>
      <c r="C6" s="875">
        <f>'ФВ РЦВК'!O18/1000</f>
        <v>6.9159199999999998</v>
      </c>
      <c r="D6" s="879">
        <f>'ФВ РЦВК'!G18</f>
        <v>7.859</v>
      </c>
      <c r="E6" s="878">
        <f>C6/D6</f>
        <v>0.88</v>
      </c>
      <c r="F6" s="875">
        <f>№12!F6</f>
        <v>49567.094099296366</v>
      </c>
      <c r="G6" s="876">
        <f>№9!G6</f>
        <v>260.16000000000003</v>
      </c>
      <c r="H6" s="150">
        <f>E6*G6</f>
        <v>228.94080000000002</v>
      </c>
      <c r="I6" s="151" t="str">
        <f>№12!I6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  <c r="J6" s="59"/>
    </row>
    <row r="7" spans="1:10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228.94080000000002</v>
      </c>
      <c r="I7" s="447"/>
    </row>
    <row r="8" spans="1:10" x14ac:dyDescent="0.25">
      <c r="A8" s="40"/>
      <c r="B8" s="41"/>
      <c r="C8" s="41"/>
      <c r="D8" s="41"/>
      <c r="E8" s="41"/>
      <c r="F8" s="41"/>
      <c r="G8" s="41" t="s">
        <v>159</v>
      </c>
      <c r="H8" s="56">
        <f>H7*1000</f>
        <v>228940.80000000002</v>
      </c>
      <c r="I8" s="39"/>
    </row>
    <row r="9" spans="1:10" s="123" customFormat="1" ht="67.5" x14ac:dyDescent="0.25">
      <c r="A9" s="141" t="s">
        <v>0</v>
      </c>
      <c r="B9" s="141" t="s">
        <v>9</v>
      </c>
      <c r="C9" s="153" t="s">
        <v>1278</v>
      </c>
      <c r="D9" s="141" t="s">
        <v>123</v>
      </c>
      <c r="E9" s="141" t="s">
        <v>10</v>
      </c>
      <c r="F9" s="141" t="s">
        <v>11</v>
      </c>
      <c r="G9" s="141" t="s">
        <v>939</v>
      </c>
      <c r="H9" s="141" t="s">
        <v>347</v>
      </c>
      <c r="I9" s="141" t="s">
        <v>4</v>
      </c>
    </row>
    <row r="10" spans="1:10" s="123" customFormat="1" ht="11.25" x14ac:dyDescent="0.25">
      <c r="A10" s="8">
        <v>1</v>
      </c>
      <c r="B10" s="8">
        <v>2</v>
      </c>
      <c r="C10" s="8">
        <v>3</v>
      </c>
      <c r="D10" s="8">
        <v>4</v>
      </c>
      <c r="E10" s="8" t="s">
        <v>5</v>
      </c>
      <c r="F10" s="8">
        <v>6</v>
      </c>
      <c r="G10" s="8">
        <v>7</v>
      </c>
      <c r="H10" s="8" t="s">
        <v>12</v>
      </c>
      <c r="I10" s="8">
        <v>9</v>
      </c>
    </row>
    <row r="11" spans="1:10" x14ac:dyDescent="0.25">
      <c r="A11" s="1082" t="s">
        <v>13</v>
      </c>
      <c r="B11" s="1082"/>
      <c r="C11" s="1082"/>
      <c r="D11" s="1082"/>
      <c r="E11" s="1082"/>
      <c r="F11" s="1082"/>
      <c r="G11" s="1082"/>
      <c r="H11" s="1082"/>
      <c r="I11" s="1082"/>
    </row>
    <row r="12" spans="1:10" ht="15" customHeight="1" outlineLevel="1" x14ac:dyDescent="0.25">
      <c r="A12" s="19">
        <v>1</v>
      </c>
      <c r="B12" s="147" t="s">
        <v>940</v>
      </c>
      <c r="C12" s="148">
        <f>'МЗ РЦВК'!$C$51*'МЗ РЦВК'!$D$5</f>
        <v>248</v>
      </c>
      <c r="D12" s="556">
        <f>№8!D12</f>
        <v>265212.859</v>
      </c>
      <c r="E12" s="43">
        <f>C12/D12</f>
        <v>9.3509794711726252E-4</v>
      </c>
      <c r="F12" s="43">
        <v>1</v>
      </c>
      <c r="G12" s="148">
        <f>SUMIF('МЗ РЦВК'!$B$5:$B$45,$B12,'МЗ РЦВК'!$C$5:$C$45)</f>
        <v>700</v>
      </c>
      <c r="H12" s="121">
        <f>E12*G12/F12</f>
        <v>0.65456856298208377</v>
      </c>
      <c r="I12" s="1102" t="s">
        <v>348</v>
      </c>
    </row>
    <row r="13" spans="1:10" ht="30" outlineLevel="1" x14ac:dyDescent="0.25">
      <c r="A13" s="19">
        <v>2</v>
      </c>
      <c r="B13" s="147" t="s">
        <v>941</v>
      </c>
      <c r="C13" s="148">
        <f>'МЗ РЦВК'!$C$51*'МЗ РЦВК'!$D$6</f>
        <v>248</v>
      </c>
      <c r="D13" s="557">
        <f>$D$12</f>
        <v>265212.859</v>
      </c>
      <c r="E13" s="43">
        <f t="shared" ref="E13:E16" si="0">C13/D13</f>
        <v>9.3509794711726252E-4</v>
      </c>
      <c r="F13" s="43">
        <v>1</v>
      </c>
      <c r="G13" s="148">
        <f>SUMIF('МЗ РЦВК'!$B$5:$B$45,$B13,'МЗ РЦВК'!$C$5:$C$45)</f>
        <v>1400</v>
      </c>
      <c r="H13" s="121">
        <f t="shared" ref="H13:H20" si="1">E13*G13/F13</f>
        <v>1.3091371259641675</v>
      </c>
      <c r="I13" s="1103"/>
    </row>
    <row r="14" spans="1:10" outlineLevel="1" x14ac:dyDescent="0.25">
      <c r="A14" s="19">
        <v>3</v>
      </c>
      <c r="B14" s="147" t="s">
        <v>942</v>
      </c>
      <c r="C14" s="148">
        <f>'МЗ РЦВК'!$C$51*'МЗ РЦВК'!$D$7</f>
        <v>124</v>
      </c>
      <c r="D14" s="557">
        <f t="shared" ref="D14:D18" si="2">$D$12</f>
        <v>265212.859</v>
      </c>
      <c r="E14" s="43">
        <f t="shared" si="0"/>
        <v>4.6754897355863126E-4</v>
      </c>
      <c r="F14" s="43">
        <v>2</v>
      </c>
      <c r="G14" s="148">
        <f>SUMIF('МЗ РЦВК'!$B$5:$B$45,$B14,'МЗ РЦВК'!$C$5:$C$45)</f>
        <v>260</v>
      </c>
      <c r="H14" s="121">
        <f t="shared" si="1"/>
        <v>6.0781366562622063E-2</v>
      </c>
      <c r="I14" s="1103"/>
    </row>
    <row r="15" spans="1:10" ht="27.75" customHeight="1" outlineLevel="1" x14ac:dyDescent="0.25">
      <c r="A15" s="19">
        <v>4</v>
      </c>
      <c r="B15" s="147" t="s">
        <v>955</v>
      </c>
      <c r="C15" s="148">
        <f>'МЗ РЦВК'!$C$48*'МЗ РЦВК'!$D$8</f>
        <v>80</v>
      </c>
      <c r="D15" s="557">
        <f t="shared" si="2"/>
        <v>265212.859</v>
      </c>
      <c r="E15" s="624">
        <f t="shared" si="0"/>
        <v>3.0164449907008468E-4</v>
      </c>
      <c r="F15" s="43">
        <v>2</v>
      </c>
      <c r="G15" s="148">
        <f>SUMIF('МЗ РЦВК'!$B$5:$B$45,$B15,'МЗ РЦВК'!$C$5:$C$45)</f>
        <v>980</v>
      </c>
      <c r="H15" s="121">
        <f t="shared" si="1"/>
        <v>0.1478058045443415</v>
      </c>
      <c r="I15" s="1103"/>
    </row>
    <row r="16" spans="1:10" ht="15" customHeight="1" outlineLevel="1" x14ac:dyDescent="0.25">
      <c r="A16" s="19">
        <v>5</v>
      </c>
      <c r="B16" s="147" t="s">
        <v>943</v>
      </c>
      <c r="C16" s="148">
        <f>'МЗ РЦВК'!$C$50*'МЗ РЦВК'!$D$9</f>
        <v>54</v>
      </c>
      <c r="D16" s="557">
        <f t="shared" si="2"/>
        <v>265212.859</v>
      </c>
      <c r="E16" s="43">
        <f t="shared" si="0"/>
        <v>2.0361003687230717E-4</v>
      </c>
      <c r="F16" s="43">
        <v>1</v>
      </c>
      <c r="G16" s="148">
        <f>SUMIF('МЗ РЦВК'!$B$5:$B$45,$B16,'МЗ РЦВК'!$C$5:$C$45)</f>
        <v>61</v>
      </c>
      <c r="H16" s="121">
        <f t="shared" si="1"/>
        <v>1.2420212249210737E-2</v>
      </c>
      <c r="I16" s="1103"/>
    </row>
    <row r="17" spans="1:10" outlineLevel="1" x14ac:dyDescent="0.25">
      <c r="A17" s="19">
        <v>6</v>
      </c>
      <c r="B17" s="147" t="s">
        <v>149</v>
      </c>
      <c r="C17" s="148">
        <f>'МЗ РЦВК'!$C$51*'МЗ РЦВК'!$D$10</f>
        <v>496</v>
      </c>
      <c r="D17" s="557">
        <f t="shared" si="2"/>
        <v>265212.859</v>
      </c>
      <c r="E17" s="43">
        <f>C17/D17</f>
        <v>1.870195894234525E-3</v>
      </c>
      <c r="F17" s="43">
        <v>1</v>
      </c>
      <c r="G17" s="148">
        <f>SUMIF('МЗ РЦВК'!$B$5:$B$45,$B17,'МЗ РЦВК'!$C$5:$C$45)</f>
        <v>55</v>
      </c>
      <c r="H17" s="121">
        <f t="shared" si="1"/>
        <v>0.10286077418289888</v>
      </c>
      <c r="I17" s="1103"/>
    </row>
    <row r="18" spans="1:10" outlineLevel="1" x14ac:dyDescent="0.25">
      <c r="A18" s="19">
        <v>7</v>
      </c>
      <c r="B18" s="147" t="s">
        <v>150</v>
      </c>
      <c r="C18" s="148">
        <f>'МЗ РЦВК'!$C$51*'МЗ РЦВК'!$D$11</f>
        <v>992</v>
      </c>
      <c r="D18" s="557">
        <f t="shared" si="2"/>
        <v>265212.859</v>
      </c>
      <c r="E18" s="624">
        <f>C18/D18</f>
        <v>3.7403917884690501E-3</v>
      </c>
      <c r="F18" s="43">
        <v>1</v>
      </c>
      <c r="G18" s="148">
        <f>SUMIF('МЗ РЦВК'!$B$5:$B$45,$B18,'МЗ РЦВК'!$C$5:$C$45)</f>
        <v>25</v>
      </c>
      <c r="H18" s="121">
        <f t="shared" si="1"/>
        <v>9.3509794711726255E-2</v>
      </c>
      <c r="I18" s="1104"/>
    </row>
    <row r="19" spans="1:10" outlineLevel="1" x14ac:dyDescent="0.25">
      <c r="A19" s="19">
        <v>8</v>
      </c>
      <c r="B19" s="54" t="s">
        <v>393</v>
      </c>
      <c r="C19" s="513">
        <f>$D$6*1</f>
        <v>7.859</v>
      </c>
      <c r="D19" s="510">
        <f>$D$6</f>
        <v>7.859</v>
      </c>
      <c r="E19" s="121">
        <f t="shared" ref="E19:E20" si="3">C19/D19</f>
        <v>1</v>
      </c>
      <c r="F19" s="43">
        <v>1</v>
      </c>
      <c r="G19" s="148">
        <f>SUMIF('МЗ РЦВК'!$B$5:$B$45,$B19,'МЗ РЦВК'!$C$5:$C$45)</f>
        <v>3.7</v>
      </c>
      <c r="H19" s="121">
        <f t="shared" si="1"/>
        <v>3.7</v>
      </c>
      <c r="I19" s="1102"/>
      <c r="J19" s="631">
        <f>H19*D19</f>
        <v>29.078300000000002</v>
      </c>
    </row>
    <row r="20" spans="1:10" outlineLevel="1" x14ac:dyDescent="0.25">
      <c r="A20" s="19">
        <v>9</v>
      </c>
      <c r="B20" s="54" t="s">
        <v>946</v>
      </c>
      <c r="C20" s="513">
        <f>$D$6*1</f>
        <v>7.859</v>
      </c>
      <c r="D20" s="510">
        <f>$D$6</f>
        <v>7.859</v>
      </c>
      <c r="E20" s="121">
        <f t="shared" si="3"/>
        <v>1</v>
      </c>
      <c r="F20" s="43">
        <v>1</v>
      </c>
      <c r="G20" s="148">
        <f>SUMIF('МЗ РЦВК'!$B$5:$B$45,$B20,'МЗ РЦВК'!$C$5:$C$45)</f>
        <v>4.1500000000000004</v>
      </c>
      <c r="H20" s="121">
        <f t="shared" si="1"/>
        <v>4.1500000000000004</v>
      </c>
      <c r="I20" s="1103"/>
      <c r="J20" s="631">
        <f>H20*D20</f>
        <v>32.614850000000004</v>
      </c>
    </row>
    <row r="21" spans="1:10" x14ac:dyDescent="0.25">
      <c r="A21" s="1120" t="s">
        <v>14</v>
      </c>
      <c r="B21" s="1121"/>
      <c r="C21" s="1121"/>
      <c r="D21" s="1121"/>
      <c r="E21" s="1121"/>
      <c r="F21" s="1121"/>
      <c r="G21" s="1122"/>
      <c r="H21" s="122">
        <f>SUM(H12:H20)</f>
        <v>10.231083641197051</v>
      </c>
      <c r="I21" s="1103"/>
      <c r="J21" s="631">
        <f>SUM(J19:J20)</f>
        <v>61.693150000000003</v>
      </c>
    </row>
    <row r="22" spans="1:10" x14ac:dyDescent="0.25">
      <c r="A22" s="21"/>
      <c r="B22" s="22"/>
      <c r="C22" s="22"/>
      <c r="D22" s="22"/>
      <c r="E22" s="22"/>
      <c r="F22" s="22"/>
      <c r="G22" s="41" t="s">
        <v>159</v>
      </c>
      <c r="H22" s="56">
        <f>H21*1000</f>
        <v>10231.08364119705</v>
      </c>
      <c r="I22" s="1104"/>
      <c r="J22" s="631">
        <f>J21*1000</f>
        <v>61693.15</v>
      </c>
    </row>
    <row r="23" spans="1:10" s="123" customFormat="1" ht="67.5" x14ac:dyDescent="0.25">
      <c r="A23" s="141" t="s">
        <v>0</v>
      </c>
      <c r="B23" s="141" t="s">
        <v>9</v>
      </c>
      <c r="C23" s="637" t="s">
        <v>1278</v>
      </c>
      <c r="D23" s="141" t="s">
        <v>123</v>
      </c>
      <c r="E23" s="141" t="s">
        <v>10</v>
      </c>
      <c r="F23" s="141" t="s">
        <v>15</v>
      </c>
      <c r="G23" s="141" t="s">
        <v>939</v>
      </c>
      <c r="H23" s="141" t="s">
        <v>347</v>
      </c>
      <c r="I23" s="141" t="s">
        <v>4</v>
      </c>
    </row>
    <row r="24" spans="1:10" s="123" customFormat="1" ht="11.25" x14ac:dyDescent="0.25">
      <c r="A24" s="8">
        <v>1</v>
      </c>
      <c r="B24" s="8">
        <v>2</v>
      </c>
      <c r="C24" s="8">
        <v>3</v>
      </c>
      <c r="D24" s="8">
        <v>4</v>
      </c>
      <c r="E24" s="8" t="s">
        <v>5</v>
      </c>
      <c r="F24" s="8">
        <v>6</v>
      </c>
      <c r="G24" s="8">
        <v>7</v>
      </c>
      <c r="H24" s="8" t="s">
        <v>12</v>
      </c>
      <c r="I24" s="8">
        <v>9</v>
      </c>
    </row>
    <row r="25" spans="1:10" x14ac:dyDescent="0.25">
      <c r="A25" s="1117" t="s">
        <v>16</v>
      </c>
      <c r="B25" s="1117"/>
      <c r="C25" s="1117"/>
      <c r="D25" s="1117"/>
      <c r="E25" s="1117"/>
      <c r="F25" s="1117"/>
      <c r="G25" s="1117"/>
      <c r="H25" s="1117"/>
      <c r="I25" s="1117"/>
    </row>
    <row r="26" spans="1:10" outlineLevel="1" x14ac:dyDescent="0.25">
      <c r="A26" s="19">
        <v>1</v>
      </c>
      <c r="B26" s="124" t="s">
        <v>317</v>
      </c>
      <c r="C26" s="557">
        <f>$D$6*E26</f>
        <v>7.859</v>
      </c>
      <c r="D26" s="557">
        <f>$D$6</f>
        <v>7.859</v>
      </c>
      <c r="E26" s="43">
        <v>1</v>
      </c>
      <c r="F26" s="43">
        <v>1</v>
      </c>
      <c r="G26" s="121">
        <f>№12!G26</f>
        <v>0.5</v>
      </c>
      <c r="H26" s="150">
        <f>C26/D26*G26</f>
        <v>0.5</v>
      </c>
      <c r="I26" s="1118" t="str">
        <f>№12!I26</f>
        <v>стоимость 1 пачки  250 руб, 500 листов</v>
      </c>
    </row>
    <row r="27" spans="1:10" ht="15" customHeight="1" x14ac:dyDescent="0.25">
      <c r="A27" s="1120" t="s">
        <v>17</v>
      </c>
      <c r="B27" s="1121"/>
      <c r="C27" s="1121"/>
      <c r="D27" s="1121"/>
      <c r="E27" s="1121"/>
      <c r="F27" s="1121"/>
      <c r="G27" s="1122"/>
      <c r="H27" s="122">
        <f>SUM(H26:H26)</f>
        <v>0.5</v>
      </c>
      <c r="I27" s="1119"/>
    </row>
    <row r="28" spans="1:10" x14ac:dyDescent="0.25">
      <c r="A28" s="21"/>
      <c r="B28" s="22"/>
      <c r="C28" s="22"/>
      <c r="D28" s="22"/>
      <c r="E28" s="22"/>
      <c r="F28" s="22"/>
      <c r="G28" s="41" t="s">
        <v>159</v>
      </c>
      <c r="H28" s="56">
        <f>H27*1000</f>
        <v>500</v>
      </c>
      <c r="I28" s="42"/>
    </row>
    <row r="29" spans="1:10" x14ac:dyDescent="0.25">
      <c r="A29" s="1127" t="s">
        <v>18</v>
      </c>
      <c r="B29" s="1128"/>
      <c r="C29" s="1128"/>
      <c r="D29" s="1128"/>
      <c r="E29" s="1128"/>
      <c r="F29" s="1128"/>
      <c r="G29" s="1129"/>
      <c r="H29" s="498">
        <f>H27+H21+H7</f>
        <v>239.67188364119707</v>
      </c>
      <c r="I29" s="43"/>
    </row>
    <row r="30" spans="1:10" x14ac:dyDescent="0.25">
      <c r="G30" s="73" t="s">
        <v>159</v>
      </c>
      <c r="H30" s="59">
        <f>H29*1000</f>
        <v>239671.88364119708</v>
      </c>
    </row>
  </sheetData>
  <mergeCells count="10">
    <mergeCell ref="A1:I1"/>
    <mergeCell ref="A25:I25"/>
    <mergeCell ref="I26:I27"/>
    <mergeCell ref="A27:G27"/>
    <mergeCell ref="A29:G29"/>
    <mergeCell ref="A7:G7"/>
    <mergeCell ref="A11:I11"/>
    <mergeCell ref="A21:G21"/>
    <mergeCell ref="I12:I18"/>
    <mergeCell ref="I19:I22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9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533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89.25" x14ac:dyDescent="0.25">
      <c r="A6" s="130" t="s">
        <v>178</v>
      </c>
      <c r="B6" s="133">
        <f>№13!H7*1000</f>
        <v>228940.80000000002</v>
      </c>
      <c r="C6" s="133">
        <f>№13!H21*1000</f>
        <v>10231.08364119705</v>
      </c>
      <c r="D6" s="133">
        <f>№13!H27*1000</f>
        <v>500</v>
      </c>
      <c r="E6" s="275">
        <f>'ОХЗ (поГЗ)'!H11*1000</f>
        <v>21564.67081627217</v>
      </c>
      <c r="F6" s="275">
        <f>'ОХЗ (поГЗ)'!H20*1000</f>
        <v>13501.244810169926</v>
      </c>
      <c r="G6" s="275">
        <f>'ОХЗ (поГЗ)'!H30*1000</f>
        <v>9300.3127382069088</v>
      </c>
      <c r="H6" s="275">
        <f>'ОХЗ (поГЗ)'!H37*1000</f>
        <v>3383.2650606612351</v>
      </c>
      <c r="I6" s="275">
        <f>'ОХЗ (поГЗ)'!H41*1000</f>
        <v>13.047282121264089</v>
      </c>
      <c r="J6" s="275">
        <f>'ОХЗ (поГЗ)'!H47*1000</f>
        <v>90342.074050449199</v>
      </c>
      <c r="K6" s="275">
        <f>'ОХЗ (поГЗ)'!H69*1000</f>
        <v>10691.070639101032</v>
      </c>
      <c r="L6" s="133">
        <f>SUM(B6:K6)</f>
        <v>388467.56903817883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8" sqref="H1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78" t="s">
        <v>534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№13!B6</f>
        <v>Основной персонал (ветеринарные и лабораторные специалисты)</v>
      </c>
      <c r="C6" s="875">
        <f>'ФВ РЦВК'!O19</f>
        <v>54</v>
      </c>
      <c r="D6" s="875">
        <f>'ФВ РЦВК'!G19</f>
        <v>72</v>
      </c>
      <c r="E6" s="878">
        <f>C6/D6</f>
        <v>0.75</v>
      </c>
      <c r="F6" s="875">
        <f>№13!F6</f>
        <v>49567.094099296366</v>
      </c>
      <c r="G6" s="875">
        <f>№13!G6</f>
        <v>260.16000000000003</v>
      </c>
      <c r="H6" s="150">
        <f>E6*G6</f>
        <v>195.12</v>
      </c>
      <c r="I6" s="151" t="str">
        <f>№13!I6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195.12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ht="15.75" customHeight="1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9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SUM(H11:H17)</f>
        <v>2.3810836411970504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 t="s">
        <v>317</v>
      </c>
      <c r="C22" s="148">
        <f>$D$6*E22</f>
        <v>144</v>
      </c>
      <c r="D22" s="44">
        <f>$D$6</f>
        <v>72</v>
      </c>
      <c r="E22" s="43">
        <v>2</v>
      </c>
      <c r="F22" s="43">
        <v>1</v>
      </c>
      <c r="G22" s="121">
        <f>№13!G26</f>
        <v>0.5</v>
      </c>
      <c r="H22" s="150">
        <f>C22/D22*G22</f>
        <v>1</v>
      </c>
      <c r="I22" s="1118" t="str">
        <f>№13!I26</f>
        <v>стоимость 1 пачки  250 руб, 500 листов</v>
      </c>
    </row>
    <row r="23" spans="1:9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1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198.50108364119706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535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89.25" x14ac:dyDescent="0.25">
      <c r="A6" s="130" t="s">
        <v>179</v>
      </c>
      <c r="B6" s="131">
        <f>№14!H7</f>
        <v>195.12</v>
      </c>
      <c r="C6" s="131">
        <f>№14!H18</f>
        <v>2.3810836411970504</v>
      </c>
      <c r="D6" s="131">
        <f>№14!H23</f>
        <v>1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347.29676903817881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8" sqref="H1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78" t="s">
        <v>536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№14!B6</f>
        <v>Основной персонал (ветеринарные и лабораторные специалисты)</v>
      </c>
      <c r="C6" s="875">
        <f>'ФВ РЦВК'!O20</f>
        <v>116.25</v>
      </c>
      <c r="D6" s="876">
        <f>'ФВ РЦВК'!G20</f>
        <v>465</v>
      </c>
      <c r="E6" s="878">
        <f>C6/D6</f>
        <v>0.25</v>
      </c>
      <c r="F6" s="875">
        <f>№14!F6</f>
        <v>49567.094099296366</v>
      </c>
      <c r="G6" s="876">
        <f>№9!G6</f>
        <v>260.16000000000003</v>
      </c>
      <c r="H6" s="150">
        <f>E6*G6</f>
        <v>65.040000000000006</v>
      </c>
      <c r="I6" s="151" t="str">
        <f>№14!I6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65.040000000000006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9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SUM(H11:H17)</f>
        <v>2.3810836411970504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 t="s">
        <v>317</v>
      </c>
      <c r="C22" s="148">
        <f>$D$6*E22</f>
        <v>930</v>
      </c>
      <c r="D22" s="44">
        <f>D6</f>
        <v>465</v>
      </c>
      <c r="E22" s="43">
        <v>2</v>
      </c>
      <c r="F22" s="43">
        <v>1</v>
      </c>
      <c r="G22" s="121">
        <f>№14!G22</f>
        <v>0.5</v>
      </c>
      <c r="H22" s="150">
        <f>C22/D22*G22</f>
        <v>1</v>
      </c>
      <c r="I22" s="1118" t="str">
        <f>№14!I22</f>
        <v>стоимость 1 пачки  250 руб, 500 листов</v>
      </c>
    </row>
    <row r="23" spans="1:9" ht="15" customHeight="1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1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68.421083641197058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537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102" x14ac:dyDescent="0.25">
      <c r="A6" s="130" t="s">
        <v>180</v>
      </c>
      <c r="B6" s="131">
        <f>№15!H7</f>
        <v>65.040000000000006</v>
      </c>
      <c r="C6" s="131">
        <f>№15!H18</f>
        <v>2.3810836411970504</v>
      </c>
      <c r="D6" s="131">
        <f>№15!H23</f>
        <v>1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217.2167690381788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outlinePr summaryBelow="0"/>
  </sheetPr>
  <dimension ref="A1:K100"/>
  <sheetViews>
    <sheetView zoomScale="95" zoomScaleNormal="95" workbookViewId="0">
      <pane xSplit="3" ySplit="4" topLeftCell="D6" activePane="bottomRight" state="frozen"/>
      <selection activeCell="C6" sqref="C6"/>
      <selection pane="topRight" activeCell="C6" sqref="C6"/>
      <selection pane="bottomLeft" activeCell="C6" sqref="C6"/>
      <selection pane="bottomRight" activeCell="H28" sqref="H22:H28"/>
    </sheetView>
  </sheetViews>
  <sheetFormatPr defaultColWidth="8.85546875" defaultRowHeight="12.75" outlineLevelRow="1" x14ac:dyDescent="0.25"/>
  <cols>
    <col min="1" max="1" width="7.7109375" style="18" customWidth="1"/>
    <col min="2" max="2" width="48" style="68" customWidth="1"/>
    <col min="3" max="3" width="13.42578125" style="18" customWidth="1"/>
    <col min="4" max="4" width="10.5703125" style="68" customWidth="1"/>
    <col min="5" max="5" width="14.7109375" style="68" customWidth="1"/>
    <col min="6" max="6" width="15.85546875" style="68" customWidth="1"/>
    <col min="7" max="7" width="10.140625" style="68" customWidth="1"/>
    <col min="8" max="8" width="9.7109375" style="68" bestFit="1" customWidth="1"/>
    <col min="9" max="9" width="22.5703125" style="68" bestFit="1" customWidth="1"/>
    <col min="10" max="11" width="0" style="68" hidden="1" customWidth="1"/>
    <col min="12" max="16384" width="8.85546875" style="68"/>
  </cols>
  <sheetData>
    <row r="1" spans="1:11" ht="15.75" x14ac:dyDescent="0.25">
      <c r="A1" s="993" t="s">
        <v>60</v>
      </c>
      <c r="B1" s="993"/>
      <c r="C1" s="993"/>
      <c r="D1" s="993"/>
      <c r="E1" s="993"/>
      <c r="F1" s="993"/>
      <c r="G1" s="993"/>
      <c r="H1" s="993"/>
      <c r="I1" s="993"/>
    </row>
    <row r="2" spans="1:11" ht="3.75" customHeight="1" x14ac:dyDescent="0.25">
      <c r="B2" s="60"/>
      <c r="C2" s="6"/>
      <c r="D2" s="60"/>
      <c r="E2" s="60"/>
      <c r="F2" s="60"/>
      <c r="G2" s="60"/>
      <c r="H2" s="60"/>
    </row>
    <row r="3" spans="1:11" ht="76.5" x14ac:dyDescent="0.25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124</v>
      </c>
      <c r="F3" s="13" t="s">
        <v>65</v>
      </c>
      <c r="G3" s="13" t="s">
        <v>66</v>
      </c>
      <c r="H3" s="13" t="s">
        <v>67</v>
      </c>
      <c r="I3" s="13" t="s">
        <v>68</v>
      </c>
    </row>
    <row r="4" spans="1:11" x14ac:dyDescent="0.25">
      <c r="A4" s="14">
        <v>1</v>
      </c>
      <c r="B4" s="14">
        <v>1</v>
      </c>
      <c r="C4" s="14">
        <v>2</v>
      </c>
      <c r="D4" s="14">
        <v>3</v>
      </c>
      <c r="E4" s="14">
        <v>4</v>
      </c>
      <c r="F4" s="14" t="s">
        <v>125</v>
      </c>
      <c r="G4" s="14">
        <v>6</v>
      </c>
      <c r="H4" s="14" t="s">
        <v>133</v>
      </c>
      <c r="I4" s="13"/>
    </row>
    <row r="5" spans="1:11" ht="13.5" x14ac:dyDescent="0.25">
      <c r="A5" s="63" t="s">
        <v>69</v>
      </c>
      <c r="B5" s="64"/>
      <c r="C5" s="64"/>
      <c r="D5" s="64"/>
      <c r="E5" s="64"/>
      <c r="F5" s="64"/>
      <c r="G5" s="64"/>
      <c r="H5" s="64"/>
      <c r="I5" s="65"/>
    </row>
    <row r="6" spans="1:11" outlineLevel="1" x14ac:dyDescent="0.25">
      <c r="A6" s="14">
        <f>Лист4!A6</f>
        <v>223</v>
      </c>
      <c r="B6" s="70" t="s">
        <v>127</v>
      </c>
      <c r="C6" s="15" t="s">
        <v>70</v>
      </c>
      <c r="D6" s="415">
        <f>E6*F6</f>
        <v>617291.33733295463</v>
      </c>
      <c r="E6" s="81">
        <f>'Свод РЦВК 2020'!H40</f>
        <v>274063</v>
      </c>
      <c r="F6" s="82">
        <f>H6/G6</f>
        <v>2.2523702117139295</v>
      </c>
      <c r="G6" s="638">
        <v>7.6908193987489986</v>
      </c>
      <c r="H6" s="83">
        <f>Лист4!G6</f>
        <v>17.322572517413878</v>
      </c>
      <c r="I6" s="70"/>
    </row>
    <row r="7" spans="1:11" outlineLevel="1" x14ac:dyDescent="0.25">
      <c r="A7" s="14">
        <f>Лист4!A7</f>
        <v>223</v>
      </c>
      <c r="B7" s="70" t="s">
        <v>71</v>
      </c>
      <c r="C7" s="15" t="s">
        <v>72</v>
      </c>
      <c r="D7" s="415">
        <f>E7*F7</f>
        <v>215.14675985754337</v>
      </c>
      <c r="E7" s="81">
        <f>$E$6</f>
        <v>274063</v>
      </c>
      <c r="F7" s="82">
        <f>H7/G7</f>
        <v>7.8502665393556724E-4</v>
      </c>
      <c r="G7" s="638">
        <v>4917.6757189397395</v>
      </c>
      <c r="H7" s="83">
        <f>Лист4!G7</f>
        <v>3.8605065147794488</v>
      </c>
      <c r="I7" s="70"/>
    </row>
    <row r="8" spans="1:11" ht="15.75" outlineLevel="1" x14ac:dyDescent="0.25">
      <c r="A8" s="14">
        <f>Лист4!A8</f>
        <v>223</v>
      </c>
      <c r="B8" s="70" t="str">
        <f>Лист4!B8</f>
        <v>Холодное водоснабжение, водоотведение</v>
      </c>
      <c r="C8" s="15" t="s">
        <v>73</v>
      </c>
      <c r="D8" s="415">
        <f>E8*F8</f>
        <v>1176.7810248626781</v>
      </c>
      <c r="E8" s="81">
        <f>$E$6</f>
        <v>274063</v>
      </c>
      <c r="F8" s="82">
        <f>H8/G8</f>
        <v>4.2938339902237012E-3</v>
      </c>
      <c r="G8" s="638">
        <v>47.958576428087603</v>
      </c>
      <c r="H8" s="83">
        <f>Лист4!G8</f>
        <v>0.20592616558966373</v>
      </c>
      <c r="I8" s="70"/>
    </row>
    <row r="9" spans="1:11" outlineLevel="1" x14ac:dyDescent="0.25">
      <c r="A9" s="14">
        <f>Лист4!A9</f>
        <v>223</v>
      </c>
      <c r="B9" s="70" t="str">
        <f>Лист4!B9</f>
        <v>Вывоз ТБО</v>
      </c>
      <c r="C9" s="14" t="s">
        <v>132</v>
      </c>
      <c r="D9" s="15">
        <v>1</v>
      </c>
      <c r="E9" s="81">
        <f>$E$6</f>
        <v>274063</v>
      </c>
      <c r="F9" s="82">
        <f>D9*1000/E9</f>
        <v>3.6487960797334921E-3</v>
      </c>
      <c r="G9" s="638">
        <v>547.15</v>
      </c>
      <c r="H9" s="83">
        <f>Лист4!G9</f>
        <v>0.1756656184891795</v>
      </c>
      <c r="I9" s="420"/>
    </row>
    <row r="10" spans="1:11" ht="25.5" outlineLevel="1" x14ac:dyDescent="0.25">
      <c r="A10" s="14">
        <f>Лист4!A10</f>
        <v>223</v>
      </c>
      <c r="B10" s="70" t="s">
        <v>128</v>
      </c>
      <c r="C10" s="15" t="s">
        <v>130</v>
      </c>
      <c r="D10" s="15">
        <v>12</v>
      </c>
      <c r="E10" s="81">
        <f>$E$6</f>
        <v>274063</v>
      </c>
      <c r="F10" s="82">
        <f>D10/E10</f>
        <v>4.3785552956801904E-5</v>
      </c>
      <c r="G10" s="514"/>
      <c r="H10" s="83">
        <f>Лист4!G10</f>
        <v>0</v>
      </c>
      <c r="I10" s="67" t="s">
        <v>126</v>
      </c>
    </row>
    <row r="11" spans="1:11" ht="13.5" x14ac:dyDescent="0.25">
      <c r="A11" s="1006" t="s">
        <v>74</v>
      </c>
      <c r="B11" s="1007"/>
      <c r="C11" s="1007"/>
      <c r="D11" s="1007"/>
      <c r="E11" s="1007"/>
      <c r="F11" s="1007"/>
      <c r="G11" s="1007"/>
      <c r="H11" s="84">
        <f>SUM(H6:H10)</f>
        <v>21.564670816272169</v>
      </c>
      <c r="I11" s="70"/>
      <c r="J11" s="69">
        <f>Лист4!G11</f>
        <v>21.564670816272169</v>
      </c>
      <c r="K11" s="69">
        <f>J11-H11</f>
        <v>0</v>
      </c>
    </row>
    <row r="12" spans="1:11" ht="13.5" x14ac:dyDescent="0.25">
      <c r="A12" s="1002" t="s">
        <v>75</v>
      </c>
      <c r="B12" s="1003"/>
      <c r="C12" s="1003"/>
      <c r="D12" s="1003"/>
      <c r="E12" s="1003"/>
      <c r="F12" s="1003"/>
      <c r="G12" s="1003"/>
      <c r="H12" s="1003"/>
      <c r="I12" s="1004"/>
    </row>
    <row r="13" spans="1:11" ht="38.25" outlineLevel="1" x14ac:dyDescent="0.25">
      <c r="A13" s="14">
        <f>Лист4!A13</f>
        <v>225</v>
      </c>
      <c r="B13" s="67" t="s">
        <v>76</v>
      </c>
      <c r="C13" s="14" t="s">
        <v>132</v>
      </c>
      <c r="D13" s="15">
        <v>1</v>
      </c>
      <c r="E13" s="81">
        <f t="shared" ref="E13:E19" si="0">$E$6</f>
        <v>274063</v>
      </c>
      <c r="F13" s="85">
        <f t="shared" ref="F13:F19" si="1">D13*1000/E13</f>
        <v>3.6487960797334921E-3</v>
      </c>
      <c r="G13" s="66">
        <f t="shared" ref="G13:G19" si="2">H13/F13</f>
        <v>59.04</v>
      </c>
      <c r="H13" s="83">
        <f>Лист4!G13</f>
        <v>0.21542492054746537</v>
      </c>
      <c r="I13" s="70"/>
    </row>
    <row r="14" spans="1:11" ht="25.5" outlineLevel="1" x14ac:dyDescent="0.25">
      <c r="A14" s="14">
        <f>Лист4!A14</f>
        <v>225</v>
      </c>
      <c r="B14" s="67" t="str">
        <f>Лист4!B14</f>
        <v>Содержание и ТО общего имущества (септик РВЛ, промывка, опресовка Сортавала и Питкяранта)</v>
      </c>
      <c r="C14" s="14" t="s">
        <v>132</v>
      </c>
      <c r="D14" s="15">
        <v>1</v>
      </c>
      <c r="E14" s="81">
        <f t="shared" si="0"/>
        <v>274063</v>
      </c>
      <c r="F14" s="85">
        <f t="shared" si="1"/>
        <v>3.6487960797334921E-3</v>
      </c>
      <c r="G14" s="66">
        <f>H14/F14</f>
        <v>28.207999999999998</v>
      </c>
      <c r="H14" s="83">
        <f>Лист4!G14</f>
        <v>0.10292523981712234</v>
      </c>
      <c r="I14" s="70"/>
    </row>
    <row r="15" spans="1:11" outlineLevel="1" x14ac:dyDescent="0.25">
      <c r="A15" s="14">
        <f>Лист4!A15</f>
        <v>225</v>
      </c>
      <c r="B15" s="67" t="s">
        <v>78</v>
      </c>
      <c r="C15" s="14" t="s">
        <v>132</v>
      </c>
      <c r="D15" s="15">
        <v>1</v>
      </c>
      <c r="E15" s="81">
        <f t="shared" si="0"/>
        <v>274063</v>
      </c>
      <c r="F15" s="85">
        <f t="shared" si="1"/>
        <v>3.6487960797334921E-3</v>
      </c>
      <c r="G15" s="66">
        <f t="shared" si="2"/>
        <v>131.19999999999999</v>
      </c>
      <c r="H15" s="83">
        <f>Лист4!G15</f>
        <v>0.47872204566103416</v>
      </c>
      <c r="I15" s="70"/>
    </row>
    <row r="16" spans="1:11" outlineLevel="1" x14ac:dyDescent="0.25">
      <c r="A16" s="14">
        <f>Лист4!A16</f>
        <v>225</v>
      </c>
      <c r="B16" s="67" t="s">
        <v>79</v>
      </c>
      <c r="C16" s="14" t="s">
        <v>132</v>
      </c>
      <c r="D16" s="19">
        <v>1</v>
      </c>
      <c r="E16" s="81">
        <f t="shared" si="0"/>
        <v>274063</v>
      </c>
      <c r="F16" s="85">
        <f t="shared" si="1"/>
        <v>3.6487960797334921E-3</v>
      </c>
      <c r="G16" s="66">
        <f t="shared" si="2"/>
        <v>39.491199999999999</v>
      </c>
      <c r="H16" s="83">
        <f>Лист4!G16</f>
        <v>0.14409533574397129</v>
      </c>
      <c r="I16" s="70"/>
    </row>
    <row r="17" spans="1:11" outlineLevel="1" x14ac:dyDescent="0.25">
      <c r="A17" s="14" t="str">
        <f>Лист4!A17</f>
        <v>211, 213</v>
      </c>
      <c r="B17" s="67" t="s">
        <v>131</v>
      </c>
      <c r="C17" s="14" t="s">
        <v>132</v>
      </c>
      <c r="D17" s="19">
        <v>1</v>
      </c>
      <c r="E17" s="81">
        <f t="shared" si="0"/>
        <v>274063</v>
      </c>
      <c r="F17" s="85">
        <f t="shared" si="1"/>
        <v>3.6487960797334921E-3</v>
      </c>
      <c r="G17" s="66">
        <f t="shared" si="2"/>
        <v>2968.9267024000005</v>
      </c>
      <c r="H17" s="83">
        <f>Лист4!G17</f>
        <v>10.833008112733205</v>
      </c>
      <c r="I17" s="70"/>
    </row>
    <row r="18" spans="1:11" outlineLevel="1" x14ac:dyDescent="0.25">
      <c r="A18" s="14">
        <f>Лист4!A18</f>
        <v>226</v>
      </c>
      <c r="B18" s="67" t="s">
        <v>81</v>
      </c>
      <c r="C18" s="14" t="s">
        <v>132</v>
      </c>
      <c r="D18" s="15">
        <v>1</v>
      </c>
      <c r="E18" s="81">
        <f t="shared" si="0"/>
        <v>274063</v>
      </c>
      <c r="F18" s="85">
        <f t="shared" si="1"/>
        <v>3.6487960797334921E-3</v>
      </c>
      <c r="G18" s="66">
        <f t="shared" si="2"/>
        <v>471.02975400960003</v>
      </c>
      <c r="H18" s="83">
        <f>Лист4!G18</f>
        <v>1.7186915198680597</v>
      </c>
      <c r="I18" s="70"/>
    </row>
    <row r="19" spans="1:11" outlineLevel="1" x14ac:dyDescent="0.25">
      <c r="A19" s="14">
        <f>Лист4!A19</f>
        <v>346</v>
      </c>
      <c r="B19" s="67" t="s">
        <v>137</v>
      </c>
      <c r="C19" s="14" t="s">
        <v>132</v>
      </c>
      <c r="D19" s="15">
        <v>1</v>
      </c>
      <c r="E19" s="81">
        <f t="shared" si="0"/>
        <v>274063</v>
      </c>
      <c r="F19" s="85">
        <f t="shared" si="1"/>
        <v>3.6487960797334921E-3</v>
      </c>
      <c r="G19" s="66">
        <f t="shared" si="2"/>
        <v>2.2959999999999998</v>
      </c>
      <c r="H19" s="83">
        <f>Лист4!G19</f>
        <v>8.3776357990680977E-3</v>
      </c>
      <c r="I19" s="70"/>
    </row>
    <row r="20" spans="1:11" ht="13.5" x14ac:dyDescent="0.25">
      <c r="A20" s="1006" t="s">
        <v>74</v>
      </c>
      <c r="B20" s="1007"/>
      <c r="C20" s="1007"/>
      <c r="D20" s="1007"/>
      <c r="E20" s="1007"/>
      <c r="F20" s="1007"/>
      <c r="G20" s="1007"/>
      <c r="H20" s="84">
        <f>SUM(H13:H19)</f>
        <v>13.501244810169926</v>
      </c>
      <c r="I20" s="70"/>
      <c r="J20" s="69">
        <f>Лист4!G20</f>
        <v>13.501244810169926</v>
      </c>
      <c r="K20" s="69">
        <f>J20-H20</f>
        <v>0</v>
      </c>
    </row>
    <row r="21" spans="1:11" ht="13.5" x14ac:dyDescent="0.25">
      <c r="A21" s="1002" t="s">
        <v>82</v>
      </c>
      <c r="B21" s="1003"/>
      <c r="C21" s="1003"/>
      <c r="D21" s="1003"/>
      <c r="E21" s="1003"/>
      <c r="F21" s="1003"/>
      <c r="G21" s="1003"/>
      <c r="H21" s="1003"/>
      <c r="I21" s="1004"/>
    </row>
    <row r="22" spans="1:11" ht="15" outlineLevel="1" x14ac:dyDescent="0.25">
      <c r="A22" s="14">
        <f>Лист4!A22</f>
        <v>226</v>
      </c>
      <c r="B22" s="71" t="str">
        <f>Лист4!B22</f>
        <v>Предрейсовый осмотр а/м и водителей</v>
      </c>
      <c r="C22" s="14" t="s">
        <v>132</v>
      </c>
      <c r="D22" s="15">
        <v>1</v>
      </c>
      <c r="E22" s="81">
        <f>Лист4!H4</f>
        <v>282582</v>
      </c>
      <c r="F22" s="85">
        <f t="shared" ref="F22:F29" si="3">D22*1000/E22</f>
        <v>3.5387958185588608E-3</v>
      </c>
      <c r="G22" s="66">
        <f t="shared" ref="G22:G29" si="4">H22/F22</f>
        <v>487.97293689885902</v>
      </c>
      <c r="H22" s="83">
        <f>Лист4!G22</f>
        <v>1.7268365886675692</v>
      </c>
      <c r="I22" s="70" t="s">
        <v>1407</v>
      </c>
    </row>
    <row r="23" spans="1:11" ht="15" outlineLevel="1" x14ac:dyDescent="0.25">
      <c r="A23" s="14">
        <f>Лист4!A23</f>
        <v>225</v>
      </c>
      <c r="B23" s="71" t="s">
        <v>134</v>
      </c>
      <c r="C23" s="14" t="s">
        <v>132</v>
      </c>
      <c r="D23" s="15">
        <v>1</v>
      </c>
      <c r="E23" s="81">
        <f>$E$22</f>
        <v>282582</v>
      </c>
      <c r="F23" s="85">
        <f t="shared" si="3"/>
        <v>3.5387958185588608E-3</v>
      </c>
      <c r="G23" s="66">
        <f t="shared" si="4"/>
        <v>87.930851519541122</v>
      </c>
      <c r="H23" s="83">
        <f>Лист4!G23</f>
        <v>0.3111693296796722</v>
      </c>
      <c r="I23" s="70" t="s">
        <v>1407</v>
      </c>
    </row>
    <row r="24" spans="1:11" ht="15" outlineLevel="1" x14ac:dyDescent="0.25">
      <c r="A24" s="14">
        <f>Лист4!A24</f>
        <v>225</v>
      </c>
      <c r="B24" s="71" t="s">
        <v>135</v>
      </c>
      <c r="C24" s="14" t="s">
        <v>132</v>
      </c>
      <c r="D24" s="15">
        <v>1</v>
      </c>
      <c r="E24" s="81">
        <f t="shared" ref="E24:E29" si="5">$E$22</f>
        <v>282582</v>
      </c>
      <c r="F24" s="85">
        <f t="shared" si="3"/>
        <v>3.5387958185588608E-3</v>
      </c>
      <c r="G24" s="66">
        <f t="shared" si="4"/>
        <v>40.583469932095909</v>
      </c>
      <c r="H24" s="83">
        <f>Лист4!G24</f>
        <v>0.14361661369831025</v>
      </c>
      <c r="I24" s="70" t="s">
        <v>1407</v>
      </c>
    </row>
    <row r="25" spans="1:11" outlineLevel="1" x14ac:dyDescent="0.25">
      <c r="A25" s="14">
        <f>Лист4!A25</f>
        <v>343</v>
      </c>
      <c r="B25" s="67" t="s">
        <v>83</v>
      </c>
      <c r="C25" s="14" t="s">
        <v>132</v>
      </c>
      <c r="D25" s="15">
        <v>1</v>
      </c>
      <c r="E25" s="81">
        <f t="shared" si="5"/>
        <v>282582</v>
      </c>
      <c r="F25" s="85">
        <f t="shared" si="3"/>
        <v>3.5387958185588608E-3</v>
      </c>
      <c r="G25" s="66">
        <f t="shared" si="4"/>
        <v>1420.4214476233567</v>
      </c>
      <c r="H25" s="83">
        <f>Лист4!G25</f>
        <v>5.0265814794408588</v>
      </c>
      <c r="I25" s="70" t="s">
        <v>1407</v>
      </c>
    </row>
    <row r="26" spans="1:11" ht="15" outlineLevel="1" x14ac:dyDescent="0.25">
      <c r="A26" s="14">
        <f>Лист4!A26</f>
        <v>227</v>
      </c>
      <c r="B26" s="71" t="str">
        <f>Лист4!B26</f>
        <v>Страхование а/м (ОСАГО, КАСКО)</v>
      </c>
      <c r="C26" s="14" t="s">
        <v>132</v>
      </c>
      <c r="D26" s="15">
        <v>1</v>
      </c>
      <c r="E26" s="81">
        <f t="shared" si="5"/>
        <v>282582</v>
      </c>
      <c r="F26" s="85">
        <f t="shared" si="3"/>
        <v>3.5387958185588608E-3</v>
      </c>
      <c r="G26" s="66">
        <f t="shared" si="4"/>
        <v>314.21008592757744</v>
      </c>
      <c r="H26" s="83">
        <f>Лист4!G26</f>
        <v>1.1119253382295313</v>
      </c>
      <c r="I26" s="70" t="s">
        <v>1407</v>
      </c>
    </row>
    <row r="27" spans="1:11" ht="15" outlineLevel="1" x14ac:dyDescent="0.25">
      <c r="A27" s="14">
        <f>Лист4!A27</f>
        <v>226</v>
      </c>
      <c r="B27" s="71" t="s">
        <v>136</v>
      </c>
      <c r="C27" s="14" t="s">
        <v>132</v>
      </c>
      <c r="D27" s="15">
        <v>1</v>
      </c>
      <c r="E27" s="81">
        <f t="shared" si="5"/>
        <v>282582</v>
      </c>
      <c r="F27" s="85">
        <f t="shared" si="3"/>
        <v>3.5387958185588608E-3</v>
      </c>
      <c r="G27" s="66">
        <f>H27/F27</f>
        <v>9.1312807347215781</v>
      </c>
      <c r="H27" s="83">
        <f>Лист4!G27</f>
        <v>3.2313738082119806E-2</v>
      </c>
      <c r="I27" s="70" t="s">
        <v>1407</v>
      </c>
    </row>
    <row r="28" spans="1:11" outlineLevel="1" x14ac:dyDescent="0.25">
      <c r="A28" s="14">
        <f>Лист4!A28</f>
        <v>346</v>
      </c>
      <c r="B28" s="67" t="s">
        <v>86</v>
      </c>
      <c r="C28" s="14" t="s">
        <v>132</v>
      </c>
      <c r="D28" s="15">
        <v>1</v>
      </c>
      <c r="E28" s="81">
        <f t="shared" si="5"/>
        <v>282582</v>
      </c>
      <c r="F28" s="85">
        <f t="shared" si="3"/>
        <v>3.5387958185588608E-3</v>
      </c>
      <c r="G28" s="66">
        <f t="shared" si="4"/>
        <v>267.85090155183298</v>
      </c>
      <c r="H28" s="83">
        <f>Лист4!G28</f>
        <v>0.94786965040884763</v>
      </c>
      <c r="I28" s="70" t="s">
        <v>1407</v>
      </c>
    </row>
    <row r="29" spans="1:11" ht="45" outlineLevel="1" x14ac:dyDescent="0.25">
      <c r="A29" s="14">
        <f>Лист4!A29</f>
        <v>225</v>
      </c>
      <c r="B29" s="54" t="s">
        <v>87</v>
      </c>
      <c r="C29" s="14" t="s">
        <v>132</v>
      </c>
      <c r="D29" s="15">
        <v>1</v>
      </c>
      <c r="E29" s="81">
        <f t="shared" si="5"/>
        <v>282582</v>
      </c>
      <c r="F29" s="85">
        <f t="shared" si="3"/>
        <v>3.5387958185588608E-3</v>
      </c>
      <c r="G29" s="66">
        <f t="shared" si="4"/>
        <v>0</v>
      </c>
      <c r="H29" s="83">
        <f>Лист4!G29</f>
        <v>0</v>
      </c>
      <c r="I29" s="70"/>
    </row>
    <row r="30" spans="1:11" ht="13.5" x14ac:dyDescent="0.25">
      <c r="A30" s="1006" t="s">
        <v>74</v>
      </c>
      <c r="B30" s="1007"/>
      <c r="C30" s="1007"/>
      <c r="D30" s="1007"/>
      <c r="E30" s="1007"/>
      <c r="F30" s="1007"/>
      <c r="G30" s="1007"/>
      <c r="H30" s="84">
        <f>SUM(H22:H29)</f>
        <v>9.3003127382069088</v>
      </c>
      <c r="I30" s="70"/>
      <c r="J30" s="69">
        <f>Лист4!G30</f>
        <v>9.3003127382069088</v>
      </c>
      <c r="K30" s="69">
        <f>J30-H30</f>
        <v>0</v>
      </c>
    </row>
    <row r="31" spans="1:11" ht="13.5" x14ac:dyDescent="0.25">
      <c r="A31" s="1002" t="s">
        <v>88</v>
      </c>
      <c r="B31" s="1003"/>
      <c r="C31" s="1003"/>
      <c r="D31" s="1003"/>
      <c r="E31" s="1003"/>
      <c r="F31" s="1003"/>
      <c r="G31" s="1003"/>
      <c r="H31" s="1003"/>
      <c r="I31" s="1004"/>
    </row>
    <row r="32" spans="1:11" outlineLevel="1" x14ac:dyDescent="0.25">
      <c r="A32" s="14">
        <v>221</v>
      </c>
      <c r="B32" s="67" t="s">
        <v>89</v>
      </c>
      <c r="C32" s="14" t="s">
        <v>132</v>
      </c>
      <c r="D32" s="15">
        <v>1</v>
      </c>
      <c r="E32" s="81">
        <f>$E$6</f>
        <v>274063</v>
      </c>
      <c r="F32" s="85">
        <f>D32*1000/E32</f>
        <v>3.6487960797334921E-3</v>
      </c>
      <c r="G32" s="66">
        <f>H32/F32</f>
        <v>209.42536944</v>
      </c>
      <c r="H32" s="83">
        <f>Лист4!G32</f>
        <v>0.76415046700941025</v>
      </c>
      <c r="I32" s="70"/>
    </row>
    <row r="33" spans="1:11" outlineLevel="1" x14ac:dyDescent="0.25">
      <c r="A33" s="14">
        <v>221</v>
      </c>
      <c r="B33" s="67" t="s">
        <v>90</v>
      </c>
      <c r="C33" s="14" t="s">
        <v>132</v>
      </c>
      <c r="D33" s="15">
        <v>1</v>
      </c>
      <c r="E33" s="81">
        <f t="shared" ref="E33:E34" si="6">$E$22</f>
        <v>282582</v>
      </c>
      <c r="F33" s="85">
        <f>D33*1000/E33</f>
        <v>3.5387958185588608E-3</v>
      </c>
      <c r="G33" s="66">
        <f>H33/F33</f>
        <v>164.70124880775586</v>
      </c>
      <c r="H33" s="83">
        <f>Лист4!G33</f>
        <v>0.58284409059230902</v>
      </c>
      <c r="I33" s="70" t="s">
        <v>1407</v>
      </c>
    </row>
    <row r="34" spans="1:11" outlineLevel="1" x14ac:dyDescent="0.25">
      <c r="A34" s="14">
        <v>221</v>
      </c>
      <c r="B34" s="67" t="s">
        <v>91</v>
      </c>
      <c r="C34" s="14" t="s">
        <v>132</v>
      </c>
      <c r="D34" s="15">
        <v>1</v>
      </c>
      <c r="E34" s="81">
        <f t="shared" si="6"/>
        <v>282582</v>
      </c>
      <c r="F34" s="85">
        <f>D34*1000/E34</f>
        <v>3.5387958185588608E-3</v>
      </c>
      <c r="G34" s="66">
        <f>H34/F34</f>
        <v>385.8202306214871</v>
      </c>
      <c r="H34" s="83">
        <f>Лист4!G34</f>
        <v>1.365339018838734</v>
      </c>
      <c r="I34" s="70" t="s">
        <v>1407</v>
      </c>
    </row>
    <row r="35" spans="1:11" outlineLevel="1" x14ac:dyDescent="0.25">
      <c r="A35" s="87">
        <v>221</v>
      </c>
      <c r="B35" s="408" t="s">
        <v>680</v>
      </c>
      <c r="C35" s="14" t="s">
        <v>132</v>
      </c>
      <c r="D35" s="15">
        <v>1</v>
      </c>
      <c r="E35" s="81">
        <f>$E$6</f>
        <v>274063</v>
      </c>
      <c r="F35" s="85">
        <f>D35*1000/E35</f>
        <v>3.6487960797334921E-3</v>
      </c>
      <c r="G35" s="66">
        <f>H35/F35</f>
        <v>2.6492756800000001</v>
      </c>
      <c r="H35" s="83">
        <f>Лист4!G35</f>
        <v>9.6666667153172819E-3</v>
      </c>
      <c r="I35" s="70"/>
    </row>
    <row r="36" spans="1:11" outlineLevel="1" x14ac:dyDescent="0.25">
      <c r="A36" s="87">
        <v>221</v>
      </c>
      <c r="B36" s="67" t="s">
        <v>138</v>
      </c>
      <c r="C36" s="14" t="s">
        <v>132</v>
      </c>
      <c r="D36" s="15">
        <v>1</v>
      </c>
      <c r="E36" s="81">
        <f t="shared" ref="E36" si="7">$E$22</f>
        <v>282582</v>
      </c>
      <c r="F36" s="85">
        <f>D36*1000/E36</f>
        <v>3.5387958185588608E-3</v>
      </c>
      <c r="G36" s="66">
        <f>H36/F36</f>
        <v>186.86153466032908</v>
      </c>
      <c r="H36" s="83">
        <f>Лист4!G36</f>
        <v>0.66126481750546418</v>
      </c>
      <c r="I36" s="70" t="s">
        <v>1407</v>
      </c>
    </row>
    <row r="37" spans="1:11" ht="13.5" x14ac:dyDescent="0.25">
      <c r="A37" s="1006" t="s">
        <v>74</v>
      </c>
      <c r="B37" s="1007"/>
      <c r="C37" s="1007"/>
      <c r="D37" s="1007"/>
      <c r="E37" s="1007"/>
      <c r="F37" s="1007"/>
      <c r="G37" s="1007"/>
      <c r="H37" s="84">
        <f>SUM(H32:H36)</f>
        <v>3.3832650606612349</v>
      </c>
      <c r="I37" s="70"/>
      <c r="J37" s="69">
        <f>Лист4!G37</f>
        <v>3.3832650606612349</v>
      </c>
      <c r="K37" s="69">
        <f>J37-H37</f>
        <v>0</v>
      </c>
    </row>
    <row r="38" spans="1:11" ht="13.5" x14ac:dyDescent="0.25">
      <c r="A38" s="1002" t="s">
        <v>92</v>
      </c>
      <c r="B38" s="1003"/>
      <c r="C38" s="1003"/>
      <c r="D38" s="1003"/>
      <c r="E38" s="1003"/>
      <c r="F38" s="1003"/>
      <c r="G38" s="1003"/>
      <c r="H38" s="1003"/>
      <c r="I38" s="1004"/>
    </row>
    <row r="39" spans="1:11" ht="25.5" outlineLevel="1" x14ac:dyDescent="0.25">
      <c r="A39" s="14">
        <v>222</v>
      </c>
      <c r="B39" s="67" t="str">
        <f>Лист4!B39</f>
        <v>Оплата разовых транспортных услуг (перевозка грузов, подвоз воды, такси - Кондопога)</v>
      </c>
      <c r="C39" s="14" t="s">
        <v>132</v>
      </c>
      <c r="D39" s="15">
        <v>1</v>
      </c>
      <c r="E39" s="88">
        <f>$E$6</f>
        <v>274063</v>
      </c>
      <c r="F39" s="85">
        <f>D39*1000/E39</f>
        <v>3.6487960797334921E-3</v>
      </c>
      <c r="G39" s="66">
        <f>H39/F39</f>
        <v>3.5757772800000001</v>
      </c>
      <c r="H39" s="83">
        <f>Лист4!G39</f>
        <v>1.3047282121264089E-2</v>
      </c>
      <c r="I39" s="70"/>
    </row>
    <row r="40" spans="1:11" ht="25.5" outlineLevel="1" x14ac:dyDescent="0.25">
      <c r="A40" s="14">
        <v>222</v>
      </c>
      <c r="B40" s="67" t="s">
        <v>94</v>
      </c>
      <c r="C40" s="14" t="s">
        <v>132</v>
      </c>
      <c r="D40" s="19">
        <v>1</v>
      </c>
      <c r="E40" s="88">
        <f>$E$6</f>
        <v>274063</v>
      </c>
      <c r="F40" s="85">
        <f>D40*1000/E40</f>
        <v>3.6487960797334921E-3</v>
      </c>
      <c r="G40" s="66">
        <f>H40/F40</f>
        <v>0</v>
      </c>
      <c r="H40" s="83">
        <f>Лист4!G40</f>
        <v>0</v>
      </c>
      <c r="I40" s="70"/>
    </row>
    <row r="41" spans="1:11" ht="13.5" x14ac:dyDescent="0.25">
      <c r="A41" s="1006" t="s">
        <v>74</v>
      </c>
      <c r="B41" s="1007"/>
      <c r="C41" s="1007"/>
      <c r="D41" s="1007"/>
      <c r="E41" s="1007"/>
      <c r="F41" s="1007"/>
      <c r="G41" s="1007"/>
      <c r="H41" s="84">
        <f>SUM(H39:H40)</f>
        <v>1.3047282121264089E-2</v>
      </c>
      <c r="I41" s="70"/>
      <c r="J41" s="69">
        <f>Лист4!G41</f>
        <v>1.3047282121264089E-2</v>
      </c>
      <c r="K41" s="69">
        <f>J41-H41</f>
        <v>0</v>
      </c>
    </row>
    <row r="42" spans="1:11" ht="13.5" x14ac:dyDescent="0.25">
      <c r="A42" s="1008" t="s">
        <v>95</v>
      </c>
      <c r="B42" s="1009"/>
      <c r="C42" s="1009"/>
      <c r="D42" s="1009"/>
      <c r="E42" s="1009"/>
      <c r="F42" s="1009"/>
      <c r="G42" s="1009"/>
      <c r="H42" s="1009"/>
      <c r="I42" s="1010"/>
    </row>
    <row r="43" spans="1:11" outlineLevel="1" x14ac:dyDescent="0.25">
      <c r="A43" s="14" t="str">
        <f>Лист4!A43</f>
        <v>211, 213</v>
      </c>
      <c r="B43" s="67" t="str">
        <f>Лист4!B43</f>
        <v>Администрация</v>
      </c>
      <c r="C43" s="14" t="s">
        <v>132</v>
      </c>
      <c r="D43" s="16">
        <v>1</v>
      </c>
      <c r="E43" s="81">
        <f t="shared" ref="E43:E44" si="8">$E$22</f>
        <v>282582</v>
      </c>
      <c r="F43" s="85">
        <f>D43*1000/E43</f>
        <v>3.5387958185588608E-3</v>
      </c>
      <c r="G43" s="66">
        <f>H43/F43</f>
        <v>1751.6461302554867</v>
      </c>
      <c r="H43" s="83">
        <f>Лист4!G43</f>
        <v>6.1987180013429262</v>
      </c>
      <c r="I43" s="70" t="s">
        <v>1407</v>
      </c>
    </row>
    <row r="44" spans="1:11" ht="25.5" outlineLevel="1" x14ac:dyDescent="0.25">
      <c r="A44" s="14" t="str">
        <f>Лист4!A44</f>
        <v>211, 213</v>
      </c>
      <c r="B44" s="67" t="str">
        <f>Лист4!B44</f>
        <v>Планово-финансовый отдел; отдел правовой и кадровой работы</v>
      </c>
      <c r="C44" s="14" t="s">
        <v>132</v>
      </c>
      <c r="D44" s="17">
        <v>1</v>
      </c>
      <c r="E44" s="81">
        <f t="shared" si="8"/>
        <v>282582</v>
      </c>
      <c r="F44" s="85">
        <f>D44*1000/E44</f>
        <v>3.5387958185588608E-3</v>
      </c>
      <c r="G44" s="66">
        <f>H44/F44</f>
        <v>4726.3671090357375</v>
      </c>
      <c r="H44" s="83">
        <f>Лист4!G44</f>
        <v>16.725648162429799</v>
      </c>
      <c r="I44" s="70" t="s">
        <v>1407</v>
      </c>
    </row>
    <row r="45" spans="1:11" outlineLevel="1" x14ac:dyDescent="0.25">
      <c r="A45" s="14" t="str">
        <f>Лист4!A45</f>
        <v>211, 213</v>
      </c>
      <c r="B45" s="67" t="str">
        <f>Лист4!B45</f>
        <v>Основной персонал</v>
      </c>
      <c r="C45" s="14" t="s">
        <v>132</v>
      </c>
      <c r="D45" s="17">
        <v>1</v>
      </c>
      <c r="E45" s="81">
        <f>$E$6</f>
        <v>274063</v>
      </c>
      <c r="F45" s="85">
        <f>D45*1000/E45</f>
        <v>3.6487960797334921E-3</v>
      </c>
      <c r="G45" s="66">
        <f>H45/F45</f>
        <v>13029.204363023717</v>
      </c>
      <c r="H45" s="83">
        <f>Лист4!G45</f>
        <v>47.540909801847448</v>
      </c>
      <c r="I45" s="78"/>
    </row>
    <row r="46" spans="1:11" ht="25.5" outlineLevel="1" x14ac:dyDescent="0.25">
      <c r="A46" s="14" t="str">
        <f>Лист4!A46</f>
        <v>211, 213</v>
      </c>
      <c r="B46" s="67" t="str">
        <f>Лист4!B46</f>
        <v>Отдел транспортного обеспечения, административно-хозяйственный отдел</v>
      </c>
      <c r="C46" s="14" t="s">
        <v>132</v>
      </c>
      <c r="D46" s="17">
        <v>1</v>
      </c>
      <c r="E46" s="81">
        <f t="shared" ref="E46" si="9">$E$22</f>
        <v>282582</v>
      </c>
      <c r="F46" s="85">
        <f>D46*1000/E46</f>
        <v>3.5387958185588608E-3</v>
      </c>
      <c r="G46" s="66">
        <f>H46/F46</f>
        <v>5616.8253564071547</v>
      </c>
      <c r="H46" s="83">
        <f>Лист4!G46</f>
        <v>19.876798084829023</v>
      </c>
      <c r="I46" s="70" t="s">
        <v>1407</v>
      </c>
    </row>
    <row r="47" spans="1:11" ht="13.5" x14ac:dyDescent="0.25">
      <c r="A47" s="1006" t="s">
        <v>74</v>
      </c>
      <c r="B47" s="1007"/>
      <c r="C47" s="1007"/>
      <c r="D47" s="1007"/>
      <c r="E47" s="1007"/>
      <c r="F47" s="1007"/>
      <c r="G47" s="1007"/>
      <c r="H47" s="92">
        <f>SUM(H43:H46)</f>
        <v>90.342074050449199</v>
      </c>
      <c r="I47" s="78"/>
      <c r="J47" s="69">
        <f>Лист4!G47</f>
        <v>90.342074050449199</v>
      </c>
      <c r="K47" s="69">
        <f>J47-H47</f>
        <v>0</v>
      </c>
    </row>
    <row r="48" spans="1:11" ht="13.5" x14ac:dyDescent="0.25">
      <c r="A48" s="1002" t="s">
        <v>96</v>
      </c>
      <c r="B48" s="1003"/>
      <c r="C48" s="1003"/>
      <c r="D48" s="1003"/>
      <c r="E48" s="1003"/>
      <c r="F48" s="1003"/>
      <c r="G48" s="1003"/>
      <c r="H48" s="1003"/>
      <c r="I48" s="1004"/>
    </row>
    <row r="49" spans="1:9" outlineLevel="1" x14ac:dyDescent="0.25">
      <c r="A49" s="79">
        <f>Лист4!A50</f>
        <v>225</v>
      </c>
      <c r="B49" s="67" t="str">
        <f>Лист4!B50</f>
        <v>Ремонт офисной техники</v>
      </c>
      <c r="C49" s="14" t="s">
        <v>132</v>
      </c>
      <c r="D49" s="444">
        <v>1</v>
      </c>
      <c r="E49" s="81">
        <f t="shared" ref="E49:E50" si="10">$E$22</f>
        <v>282582</v>
      </c>
      <c r="F49" s="85">
        <f t="shared" ref="F49:F68" si="11">D49*1000/E49</f>
        <v>3.5387958185588608E-3</v>
      </c>
      <c r="G49" s="66">
        <f t="shared" ref="G49:G58" si="12">H49/F49</f>
        <v>78.720000000000013</v>
      </c>
      <c r="H49" s="83">
        <f>Лист4!G50</f>
        <v>0.27857400683695355</v>
      </c>
      <c r="I49" s="70" t="s">
        <v>1407</v>
      </c>
    </row>
    <row r="50" spans="1:9" outlineLevel="1" x14ac:dyDescent="0.25">
      <c r="A50" s="79">
        <f>Лист4!A51</f>
        <v>226</v>
      </c>
      <c r="B50" s="67" t="str">
        <f>Лист4!B51</f>
        <v>Обслуживание комьютерной техники</v>
      </c>
      <c r="C50" s="14" t="s">
        <v>132</v>
      </c>
      <c r="D50" s="444">
        <v>1</v>
      </c>
      <c r="E50" s="81">
        <f t="shared" si="10"/>
        <v>282582</v>
      </c>
      <c r="F50" s="85">
        <f t="shared" si="11"/>
        <v>3.5387958185588608E-3</v>
      </c>
      <c r="G50" s="66">
        <f t="shared" si="12"/>
        <v>10.822258648558908</v>
      </c>
      <c r="H50" s="83">
        <f>Лист4!G51</f>
        <v>3.8297763652882733E-2</v>
      </c>
      <c r="I50" s="70" t="s">
        <v>1407</v>
      </c>
    </row>
    <row r="51" spans="1:9" outlineLevel="1" x14ac:dyDescent="0.25">
      <c r="A51" s="79">
        <f>Лист4!A52</f>
        <v>226</v>
      </c>
      <c r="B51" s="67" t="str">
        <f>Лист4!B52</f>
        <v>Обслуживание баз данных, сайта</v>
      </c>
      <c r="C51" s="14" t="s">
        <v>132</v>
      </c>
      <c r="D51" s="444">
        <v>1</v>
      </c>
      <c r="E51" s="81">
        <f t="shared" ref="E51:E100" si="13">$E$6</f>
        <v>274063</v>
      </c>
      <c r="F51" s="85">
        <f t="shared" si="11"/>
        <v>3.6487960797334921E-3</v>
      </c>
      <c r="G51" s="66">
        <f t="shared" si="12"/>
        <v>273.50240640000004</v>
      </c>
      <c r="H51" s="83">
        <f>Лист4!G52</f>
        <v>0.99795450826999643</v>
      </c>
      <c r="I51" s="78"/>
    </row>
    <row r="52" spans="1:9" outlineLevel="1" x14ac:dyDescent="0.25">
      <c r="A52" s="79">
        <f>Лист4!A55</f>
        <v>227</v>
      </c>
      <c r="B52" s="67" t="str">
        <f>Лист4!B55</f>
        <v>Страхование имущества, оборудования</v>
      </c>
      <c r="C52" s="14" t="s">
        <v>132</v>
      </c>
      <c r="D52" s="444">
        <v>1</v>
      </c>
      <c r="E52" s="81">
        <f t="shared" si="13"/>
        <v>274063</v>
      </c>
      <c r="F52" s="85">
        <f t="shared" si="11"/>
        <v>3.6487960797334921E-3</v>
      </c>
      <c r="G52" s="66">
        <f t="shared" si="12"/>
        <v>34.112000000000002</v>
      </c>
      <c r="H52" s="83">
        <f>Лист4!G55</f>
        <v>0.12446773187186888</v>
      </c>
      <c r="I52" s="78"/>
    </row>
    <row r="53" spans="1:9" outlineLevel="1" x14ac:dyDescent="0.25">
      <c r="A53" s="79">
        <f>Лист4!A57</f>
        <v>226</v>
      </c>
      <c r="B53" s="67" t="str">
        <f>Лист4!B57</f>
        <v>Курсы повышения квалификации</v>
      </c>
      <c r="C53" s="14" t="s">
        <v>132</v>
      </c>
      <c r="D53" s="444">
        <v>1</v>
      </c>
      <c r="E53" s="81">
        <f t="shared" si="13"/>
        <v>274063</v>
      </c>
      <c r="F53" s="85">
        <f t="shared" si="11"/>
        <v>3.6487960797334921E-3</v>
      </c>
      <c r="G53" s="66">
        <f>H53/F53</f>
        <v>0</v>
      </c>
      <c r="H53" s="83">
        <f>Лист4!G57</f>
        <v>0</v>
      </c>
      <c r="I53" s="78"/>
    </row>
    <row r="54" spans="1:9" outlineLevel="1" x14ac:dyDescent="0.25">
      <c r="A54" s="79">
        <f>Лист4!A58</f>
        <v>226</v>
      </c>
      <c r="B54" s="67" t="str">
        <f>Лист4!B58</f>
        <v>Медицинские периодические осмотры</v>
      </c>
      <c r="C54" s="14" t="s">
        <v>132</v>
      </c>
      <c r="D54" s="444">
        <v>1</v>
      </c>
      <c r="E54" s="81">
        <f t="shared" ref="E54" si="14">$E$22</f>
        <v>282582</v>
      </c>
      <c r="F54" s="85">
        <f t="shared" si="11"/>
        <v>3.5387958185588608E-3</v>
      </c>
      <c r="G54" s="66">
        <f t="shared" si="12"/>
        <v>390.41298074676257</v>
      </c>
      <c r="H54" s="83">
        <f>Лист4!G58</f>
        <v>1.3815918237777445</v>
      </c>
      <c r="I54" s="70" t="s">
        <v>1407</v>
      </c>
    </row>
    <row r="55" spans="1:9" outlineLevel="1" x14ac:dyDescent="0.25">
      <c r="A55" s="79">
        <f>Лист4!A59</f>
        <v>226</v>
      </c>
      <c r="B55" s="67" t="str">
        <f>Лист4!B59</f>
        <v>Проверка лок.смет, изготовление энергетич.паспортов</v>
      </c>
      <c r="C55" s="14" t="s">
        <v>132</v>
      </c>
      <c r="D55" s="444">
        <v>1</v>
      </c>
      <c r="E55" s="81">
        <f t="shared" si="13"/>
        <v>274063</v>
      </c>
      <c r="F55" s="85">
        <f t="shared" si="11"/>
        <v>3.6487960797334921E-3</v>
      </c>
      <c r="G55" s="66">
        <f t="shared" si="12"/>
        <v>115.25920000000001</v>
      </c>
      <c r="H55" s="83">
        <f>Лист4!G59</f>
        <v>0.42055731711321853</v>
      </c>
      <c r="I55" s="70"/>
    </row>
    <row r="56" spans="1:9" outlineLevel="1" x14ac:dyDescent="0.25">
      <c r="A56" s="79">
        <f>Лист4!A61</f>
        <v>226</v>
      </c>
      <c r="B56" s="67" t="str">
        <f>Лист4!B61</f>
        <v>Оплата за атостоянку</v>
      </c>
      <c r="C56" s="14" t="s">
        <v>132</v>
      </c>
      <c r="D56" s="444">
        <v>1</v>
      </c>
      <c r="E56" s="81">
        <f t="shared" si="13"/>
        <v>274063</v>
      </c>
      <c r="F56" s="85">
        <f t="shared" si="11"/>
        <v>3.6487960797334921E-3</v>
      </c>
      <c r="G56" s="66">
        <f t="shared" si="12"/>
        <v>9.84</v>
      </c>
      <c r="H56" s="83">
        <f>Лист4!G61</f>
        <v>3.5904153424577562E-2</v>
      </c>
      <c r="I56" s="70"/>
    </row>
    <row r="57" spans="1:9" outlineLevel="1" x14ac:dyDescent="0.25">
      <c r="A57" s="79">
        <f>Лист4!A64</f>
        <v>226</v>
      </c>
      <c r="B57" s="67" t="str">
        <f>Лист4!B64</f>
        <v>Услуги банка</v>
      </c>
      <c r="C57" s="14" t="s">
        <v>132</v>
      </c>
      <c r="D57" s="444">
        <v>1</v>
      </c>
      <c r="E57" s="81">
        <f t="shared" ref="E57:E58" si="15">$E$22</f>
        <v>282582</v>
      </c>
      <c r="F57" s="85">
        <f t="shared" si="11"/>
        <v>3.5387958185588608E-3</v>
      </c>
      <c r="G57" s="66">
        <f t="shared" si="12"/>
        <v>65.599999999999994</v>
      </c>
      <c r="H57" s="83">
        <f>Лист4!G64</f>
        <v>0.23214500569746127</v>
      </c>
      <c r="I57" s="70" t="s">
        <v>1407</v>
      </c>
    </row>
    <row r="58" spans="1:9" outlineLevel="1" x14ac:dyDescent="0.25">
      <c r="A58" s="79" t="str">
        <f>Лист4!A65</f>
        <v>290, 291</v>
      </c>
      <c r="B58" s="67" t="str">
        <f>Лист4!B65</f>
        <v>Прочие налоги и сборы</v>
      </c>
      <c r="C58" s="14" t="s">
        <v>132</v>
      </c>
      <c r="D58" s="444">
        <v>1</v>
      </c>
      <c r="E58" s="81">
        <f t="shared" si="15"/>
        <v>282582</v>
      </c>
      <c r="F58" s="85">
        <f t="shared" si="11"/>
        <v>3.5387958185588608E-3</v>
      </c>
      <c r="G58" s="66">
        <f t="shared" si="12"/>
        <v>90.445015999999995</v>
      </c>
      <c r="H58" s="83">
        <f>Лист4!G65</f>
        <v>0.32006644443028925</v>
      </c>
      <c r="I58" s="70" t="s">
        <v>1407</v>
      </c>
    </row>
    <row r="59" spans="1:9" outlineLevel="1" x14ac:dyDescent="0.25">
      <c r="A59" s="79">
        <f>Лист4!A66</f>
        <v>291</v>
      </c>
      <c r="B59" s="67" t="str">
        <f>Лист4!B66</f>
        <v>Транспортный и земельный налоги</v>
      </c>
      <c r="C59" s="14" t="s">
        <v>132</v>
      </c>
      <c r="D59" s="444">
        <v>1</v>
      </c>
      <c r="E59" s="81">
        <f t="shared" si="13"/>
        <v>274063</v>
      </c>
      <c r="F59" s="85">
        <f t="shared" si="11"/>
        <v>3.6487960797334921E-3</v>
      </c>
      <c r="G59" s="66">
        <f t="shared" ref="G59:G66" si="16">H59/F59</f>
        <v>333.752792</v>
      </c>
      <c r="H59" s="83">
        <f>Лист4!G66</f>
        <v>1.2177958790497077</v>
      </c>
      <c r="I59" s="420"/>
    </row>
    <row r="60" spans="1:9" outlineLevel="1" x14ac:dyDescent="0.25">
      <c r="A60" s="79">
        <f>Лист4!A67</f>
        <v>310</v>
      </c>
      <c r="B60" s="67" t="str">
        <f>Лист4!B67</f>
        <v>Затраты на приобретение основных средств</v>
      </c>
      <c r="C60" s="14" t="s">
        <v>132</v>
      </c>
      <c r="D60" s="444">
        <v>1</v>
      </c>
      <c r="E60" s="81">
        <f t="shared" si="13"/>
        <v>274063</v>
      </c>
      <c r="F60" s="85">
        <f t="shared" si="11"/>
        <v>3.6487960797334921E-3</v>
      </c>
      <c r="G60" s="66">
        <f t="shared" si="16"/>
        <v>0</v>
      </c>
      <c r="H60" s="83">
        <f>Лист4!G67</f>
        <v>0</v>
      </c>
      <c r="I60" s="420"/>
    </row>
    <row r="61" spans="1:9" outlineLevel="1" x14ac:dyDescent="0.25">
      <c r="A61" s="79">
        <f>Лист4!A68</f>
        <v>346</v>
      </c>
      <c r="B61" s="67" t="str">
        <f>Лист4!B68</f>
        <v>Приобретение катриджей, зап.части ЭВМ</v>
      </c>
      <c r="C61" s="14" t="s">
        <v>132</v>
      </c>
      <c r="D61" s="444">
        <v>1</v>
      </c>
      <c r="E61" s="81">
        <f t="shared" ref="E61" si="17">$E$22</f>
        <v>282582</v>
      </c>
      <c r="F61" s="85">
        <f t="shared" si="11"/>
        <v>3.5387958185588608E-3</v>
      </c>
      <c r="G61" s="66">
        <f t="shared" si="16"/>
        <v>87.930851519541122</v>
      </c>
      <c r="H61" s="83">
        <f>Лист4!G68</f>
        <v>0.3111693296796722</v>
      </c>
      <c r="I61" s="70" t="s">
        <v>1407</v>
      </c>
    </row>
    <row r="62" spans="1:9" outlineLevel="1" x14ac:dyDescent="0.25">
      <c r="A62" s="79">
        <f>Лист4!A69</f>
        <v>225</v>
      </c>
      <c r="B62" s="67" t="str">
        <f>Лист4!B69</f>
        <v>Стирка белья</v>
      </c>
      <c r="C62" s="14" t="s">
        <v>132</v>
      </c>
      <c r="D62" s="444">
        <v>1</v>
      </c>
      <c r="E62" s="81">
        <f t="shared" si="13"/>
        <v>274063</v>
      </c>
      <c r="F62" s="85">
        <f t="shared" si="11"/>
        <v>3.6487960797334921E-3</v>
      </c>
      <c r="G62" s="66">
        <f t="shared" si="16"/>
        <v>6.56</v>
      </c>
      <c r="H62" s="83">
        <f>Лист4!G69</f>
        <v>2.3936102283051708E-2</v>
      </c>
      <c r="I62" s="420"/>
    </row>
    <row r="63" spans="1:9" ht="25.5" outlineLevel="1" x14ac:dyDescent="0.25">
      <c r="A63" s="79">
        <f>Лист4!A70</f>
        <v>225</v>
      </c>
      <c r="B63" s="67" t="str">
        <f>Лист4!B70</f>
        <v>Поверка, калибровка, сличительные испытания оборудования</v>
      </c>
      <c r="C63" s="14" t="s">
        <v>132</v>
      </c>
      <c r="D63" s="444">
        <v>1</v>
      </c>
      <c r="E63" s="81">
        <f t="shared" si="13"/>
        <v>274063</v>
      </c>
      <c r="F63" s="85">
        <f t="shared" si="11"/>
        <v>3.6487960797334921E-3</v>
      </c>
      <c r="G63" s="66">
        <f t="shared" si="16"/>
        <v>321.06214399999999</v>
      </c>
      <c r="H63" s="83">
        <f>Лист4!G70</f>
        <v>1.1714902923780299</v>
      </c>
      <c r="I63" s="420"/>
    </row>
    <row r="64" spans="1:9" outlineLevel="1" x14ac:dyDescent="0.25">
      <c r="A64" s="79">
        <f>Лист4!A71</f>
        <v>346</v>
      </c>
      <c r="B64" s="67" t="str">
        <f>Лист4!B71</f>
        <v>Канцтовары, хоз.товары</v>
      </c>
      <c r="C64" s="14" t="s">
        <v>132</v>
      </c>
      <c r="D64" s="444">
        <v>1</v>
      </c>
      <c r="E64" s="81">
        <f t="shared" si="13"/>
        <v>274063</v>
      </c>
      <c r="F64" s="85">
        <f t="shared" si="11"/>
        <v>3.6487960797334921E-3</v>
      </c>
      <c r="G64" s="66">
        <f t="shared" si="16"/>
        <v>327.99999999999994</v>
      </c>
      <c r="H64" s="83">
        <f>Лист4!G71</f>
        <v>1.1968051141525853</v>
      </c>
      <c r="I64" s="420"/>
    </row>
    <row r="65" spans="1:11" outlineLevel="1" x14ac:dyDescent="0.25">
      <c r="A65" s="79">
        <f>Лист4!A72</f>
        <v>346</v>
      </c>
      <c r="B65" s="67" t="str">
        <f>Лист4!B72</f>
        <v>Дрова (Калевала, Пряжа, Лоухи)</v>
      </c>
      <c r="C65" s="14" t="s">
        <v>132</v>
      </c>
      <c r="D65" s="444">
        <v>1</v>
      </c>
      <c r="E65" s="81">
        <f t="shared" si="13"/>
        <v>274063</v>
      </c>
      <c r="F65" s="85">
        <f t="shared" si="11"/>
        <v>3.6487960797334921E-3</v>
      </c>
      <c r="G65" s="66">
        <f t="shared" si="16"/>
        <v>62.188800000000001</v>
      </c>
      <c r="H65" s="83">
        <f>Лист4!G72</f>
        <v>0.22691424964333021</v>
      </c>
      <c r="I65" s="420"/>
    </row>
    <row r="66" spans="1:11" outlineLevel="1" x14ac:dyDescent="0.25">
      <c r="A66" s="79">
        <f>Лист4!A75</f>
        <v>342</v>
      </c>
      <c r="B66" s="67" t="str">
        <f>Лист4!B75</f>
        <v>Молоко</v>
      </c>
      <c r="C66" s="14" t="s">
        <v>132</v>
      </c>
      <c r="D66" s="444">
        <v>1</v>
      </c>
      <c r="E66" s="81">
        <f t="shared" si="13"/>
        <v>274063</v>
      </c>
      <c r="F66" s="85">
        <f t="shared" si="11"/>
        <v>3.6487960797334921E-3</v>
      </c>
      <c r="G66" s="66">
        <f t="shared" si="16"/>
        <v>131.19999999999999</v>
      </c>
      <c r="H66" s="83">
        <f>Лист4!G75</f>
        <v>0.47872204566103416</v>
      </c>
      <c r="I66" s="420"/>
    </row>
    <row r="67" spans="1:11" ht="25.5" outlineLevel="1" x14ac:dyDescent="0.25">
      <c r="A67" s="485">
        <f>Лист4!A77</f>
        <v>345</v>
      </c>
      <c r="B67" s="482" t="str">
        <f>Лист4!B77</f>
        <v>Мягкий инвентарь, спецодежда (водители, электрик, подсоб.рабочий, санитар-водитель)</v>
      </c>
      <c r="C67" s="14" t="s">
        <v>132</v>
      </c>
      <c r="D67" s="444">
        <v>1</v>
      </c>
      <c r="E67" s="81">
        <f t="shared" si="13"/>
        <v>274063</v>
      </c>
      <c r="F67" s="85">
        <f t="shared" ref="F67" si="18">D67*1000/E67</f>
        <v>3.6487960797334921E-3</v>
      </c>
      <c r="G67" s="66">
        <f t="shared" ref="G67" si="19">H67/F67</f>
        <v>52.48</v>
      </c>
      <c r="H67" s="955">
        <f>Лист4!G77</f>
        <v>0.19148881826441366</v>
      </c>
      <c r="I67" s="487"/>
    </row>
    <row r="68" spans="1:11" ht="25.5" outlineLevel="1" x14ac:dyDescent="0.25">
      <c r="A68" s="90" t="str">
        <f>Лист4!A79</f>
        <v>212, 214, 226, 267</v>
      </c>
      <c r="B68" s="67" t="str">
        <f>Лист4!B79</f>
        <v>Прочие выплаты (Пособие от 1,5 до 3-х лет, проезд до места работы и обрано, расходы по командировкам)</v>
      </c>
      <c r="C68" s="14" t="s">
        <v>132</v>
      </c>
      <c r="D68" s="444">
        <v>1</v>
      </c>
      <c r="E68" s="81">
        <f t="shared" si="13"/>
        <v>274063</v>
      </c>
      <c r="F68" s="85">
        <f t="shared" si="11"/>
        <v>3.6487960797334921E-3</v>
      </c>
      <c r="G68" s="66">
        <f>H68/F68</f>
        <v>559.96279547182803</v>
      </c>
      <c r="H68" s="83">
        <f>Лист4!G79</f>
        <v>2.0431900529142135</v>
      </c>
      <c r="I68" s="420"/>
    </row>
    <row r="69" spans="1:11" ht="13.5" x14ac:dyDescent="0.25">
      <c r="A69" s="1005" t="s">
        <v>74</v>
      </c>
      <c r="B69" s="1005"/>
      <c r="C69" s="1005"/>
      <c r="D69" s="1005"/>
      <c r="E69" s="1005"/>
      <c r="F69" s="1005"/>
      <c r="G69" s="1005"/>
      <c r="H69" s="92">
        <f>SUM(H49:H68)</f>
        <v>10.691070639101032</v>
      </c>
      <c r="I69" s="78"/>
      <c r="J69" s="69">
        <f>Лист4!G85</f>
        <v>10.691070639101032</v>
      </c>
      <c r="K69" s="69">
        <f>J69-H69</f>
        <v>0</v>
      </c>
    </row>
    <row r="70" spans="1:11" ht="15" x14ac:dyDescent="0.25">
      <c r="A70" s="999" t="s">
        <v>189</v>
      </c>
      <c r="B70" s="1000"/>
      <c r="C70" s="1000"/>
      <c r="D70" s="1000"/>
      <c r="E70" s="1000"/>
      <c r="F70" s="1000"/>
      <c r="G70" s="1001"/>
      <c r="H70" s="639">
        <f>H11+H20+H30+H37+H41+H47+H69</f>
        <v>148.79568539698175</v>
      </c>
      <c r="I70" s="487"/>
      <c r="J70" s="69">
        <f>Лист4!G86</f>
        <v>148.79568539698172</v>
      </c>
      <c r="K70" s="69">
        <f>J70-H70</f>
        <v>0</v>
      </c>
    </row>
    <row r="73" spans="1:11" x14ac:dyDescent="0.25">
      <c r="H73" s="69"/>
    </row>
    <row r="74" spans="1:11" x14ac:dyDescent="0.25">
      <c r="H74" s="69"/>
    </row>
    <row r="83" spans="1:9" x14ac:dyDescent="0.25">
      <c r="A83" s="18">
        <v>2019</v>
      </c>
    </row>
    <row r="84" spans="1:9" ht="15" outlineLevel="1" x14ac:dyDescent="0.25">
      <c r="A84" s="94">
        <v>226</v>
      </c>
      <c r="B84" s="95" t="s">
        <v>153</v>
      </c>
      <c r="C84" s="80" t="s">
        <v>132</v>
      </c>
      <c r="D84" s="96"/>
      <c r="E84" s="97">
        <f t="shared" si="13"/>
        <v>274063</v>
      </c>
      <c r="F84" s="98">
        <f>D84*1000/E84</f>
        <v>0</v>
      </c>
      <c r="G84" s="99">
        <v>341.1</v>
      </c>
      <c r="H84" s="100">
        <f>F84*G84</f>
        <v>0</v>
      </c>
      <c r="I84" s="78"/>
    </row>
    <row r="85" spans="1:9" ht="15" outlineLevel="1" x14ac:dyDescent="0.25">
      <c r="A85" s="94">
        <v>226</v>
      </c>
      <c r="B85" s="95" t="s">
        <v>154</v>
      </c>
      <c r="C85" s="80" t="s">
        <v>132</v>
      </c>
      <c r="D85" s="96"/>
      <c r="E85" s="97">
        <f t="shared" si="13"/>
        <v>274063</v>
      </c>
      <c r="F85" s="98">
        <f>D85*1000/E85</f>
        <v>0</v>
      </c>
      <c r="G85" s="99">
        <v>341.1</v>
      </c>
      <c r="H85" s="100">
        <f>F85*G85</f>
        <v>0</v>
      </c>
      <c r="I85" s="78"/>
    </row>
    <row r="86" spans="1:9" ht="15" outlineLevel="1" x14ac:dyDescent="0.25">
      <c r="A86" s="94">
        <v>226</v>
      </c>
      <c r="B86" s="95" t="s">
        <v>155</v>
      </c>
      <c r="C86" s="80" t="s">
        <v>132</v>
      </c>
      <c r="D86" s="96"/>
      <c r="E86" s="97">
        <f t="shared" si="13"/>
        <v>274063</v>
      </c>
      <c r="F86" s="98">
        <f>D86*1000/E86</f>
        <v>0</v>
      </c>
      <c r="G86" s="99">
        <f>(216000+62400+12600+4800)/1000</f>
        <v>295.8</v>
      </c>
      <c r="H86" s="100">
        <f>F86*G86</f>
        <v>0</v>
      </c>
      <c r="I86" s="78"/>
    </row>
    <row r="87" spans="1:9" ht="15" outlineLevel="1" x14ac:dyDescent="0.25">
      <c r="A87" s="94">
        <v>340</v>
      </c>
      <c r="B87" s="95" t="s">
        <v>156</v>
      </c>
      <c r="C87" s="80" t="s">
        <v>132</v>
      </c>
      <c r="D87" s="96"/>
      <c r="E87" s="97">
        <f t="shared" si="13"/>
        <v>274063</v>
      </c>
      <c r="F87" s="98">
        <f>D87*1000/E87</f>
        <v>0</v>
      </c>
      <c r="G87" s="99">
        <f>(6488639.45+1756672.79)/1000</f>
        <v>8245.3122400000011</v>
      </c>
      <c r="H87" s="100">
        <f>F87*G87</f>
        <v>0</v>
      </c>
      <c r="I87" s="78"/>
    </row>
    <row r="88" spans="1:9" collapsed="1" x14ac:dyDescent="0.25"/>
    <row r="89" spans="1:9" x14ac:dyDescent="0.25">
      <c r="A89" s="18">
        <v>2020</v>
      </c>
    </row>
    <row r="90" spans="1:9" outlineLevel="1" x14ac:dyDescent="0.25">
      <c r="A90" s="79">
        <f>Лист4!A49</f>
        <v>224</v>
      </c>
      <c r="B90" s="67" t="str">
        <f>Лист4!B49</f>
        <v>Аренда помещений</v>
      </c>
      <c r="C90" s="14" t="s">
        <v>132</v>
      </c>
      <c r="D90" s="444">
        <v>1</v>
      </c>
      <c r="E90" s="81">
        <f t="shared" si="13"/>
        <v>274063</v>
      </c>
      <c r="F90" s="85">
        <f t="shared" ref="F90:F100" si="20">D90*1000/E90</f>
        <v>3.6487960797334921E-3</v>
      </c>
      <c r="G90" s="66">
        <f t="shared" ref="G90:G100" si="21">H90/F90</f>
        <v>0</v>
      </c>
      <c r="H90" s="83">
        <f>Лист4!G49</f>
        <v>0</v>
      </c>
      <c r="I90" s="78"/>
    </row>
    <row r="91" spans="1:9" outlineLevel="1" x14ac:dyDescent="0.25">
      <c r="A91" s="79" t="str">
        <f>Лист4!A53</f>
        <v>225, 226</v>
      </c>
      <c r="B91" s="67" t="str">
        <f>Лист4!B53</f>
        <v>Обслуживание, ремонт  кассовых аппаратов; Такском</v>
      </c>
      <c r="C91" s="14" t="s">
        <v>132</v>
      </c>
      <c r="D91" s="444">
        <v>1</v>
      </c>
      <c r="E91" s="81">
        <f t="shared" si="13"/>
        <v>274063</v>
      </c>
      <c r="F91" s="85">
        <f t="shared" si="20"/>
        <v>3.6487960797334921E-3</v>
      </c>
      <c r="G91" s="66">
        <f t="shared" si="21"/>
        <v>0</v>
      </c>
      <c r="H91" s="83">
        <f>Лист4!G53</f>
        <v>0</v>
      </c>
      <c r="I91" s="78"/>
    </row>
    <row r="92" spans="1:9" outlineLevel="1" x14ac:dyDescent="0.25">
      <c r="A92" s="79">
        <f>Лист4!A54</f>
        <v>226</v>
      </c>
      <c r="B92" s="67" t="str">
        <f>Лист4!B54</f>
        <v>Доступ к системе AnimalFace</v>
      </c>
      <c r="C92" s="14" t="s">
        <v>132</v>
      </c>
      <c r="D92" s="444">
        <v>1</v>
      </c>
      <c r="E92" s="81">
        <f t="shared" si="13"/>
        <v>274063</v>
      </c>
      <c r="F92" s="85">
        <f t="shared" si="20"/>
        <v>3.6487960797334921E-3</v>
      </c>
      <c r="G92" s="66">
        <f t="shared" si="21"/>
        <v>0</v>
      </c>
      <c r="H92" s="83">
        <f>Лист4!G54</f>
        <v>0</v>
      </c>
      <c r="I92" s="78"/>
    </row>
    <row r="93" spans="1:9" outlineLevel="1" x14ac:dyDescent="0.25">
      <c r="A93" s="79">
        <f>Лист4!A56</f>
        <v>227</v>
      </c>
      <c r="B93" s="67" t="str">
        <f>Лист4!B56</f>
        <v>Страхование работников (клещ)</v>
      </c>
      <c r="C93" s="14" t="s">
        <v>132</v>
      </c>
      <c r="D93" s="444">
        <v>1</v>
      </c>
      <c r="E93" s="81">
        <f t="shared" si="13"/>
        <v>274063</v>
      </c>
      <c r="F93" s="85">
        <f t="shared" si="20"/>
        <v>3.6487960797334921E-3</v>
      </c>
      <c r="G93" s="66">
        <f t="shared" si="21"/>
        <v>0</v>
      </c>
      <c r="H93" s="83">
        <f>Лист4!G56</f>
        <v>0</v>
      </c>
      <c r="I93" s="78"/>
    </row>
    <row r="94" spans="1:9" outlineLevel="1" x14ac:dyDescent="0.25">
      <c r="A94" s="79">
        <f>Лист4!A60</f>
        <v>226</v>
      </c>
      <c r="B94" s="67" t="str">
        <f>Лист4!B60</f>
        <v>Реклама на ТВ</v>
      </c>
      <c r="C94" s="14" t="s">
        <v>132</v>
      </c>
      <c r="D94" s="444">
        <v>1</v>
      </c>
      <c r="E94" s="81">
        <f t="shared" si="13"/>
        <v>274063</v>
      </c>
      <c r="F94" s="85">
        <f t="shared" si="20"/>
        <v>3.6487960797334921E-3</v>
      </c>
      <c r="G94" s="66">
        <f t="shared" si="21"/>
        <v>0</v>
      </c>
      <c r="H94" s="83">
        <f>Лист4!G60</f>
        <v>0</v>
      </c>
      <c r="I94" s="78"/>
    </row>
    <row r="95" spans="1:9" outlineLevel="1" x14ac:dyDescent="0.25">
      <c r="A95" s="79">
        <f>Лист4!A62</f>
        <v>226</v>
      </c>
      <c r="B95" s="67" t="str">
        <f>Лист4!B62</f>
        <v>Лабораторные исследования</v>
      </c>
      <c r="C95" s="14" t="s">
        <v>132</v>
      </c>
      <c r="D95" s="444">
        <v>1</v>
      </c>
      <c r="E95" s="81">
        <f t="shared" si="13"/>
        <v>274063</v>
      </c>
      <c r="F95" s="85">
        <f t="shared" si="20"/>
        <v>3.6487960797334921E-3</v>
      </c>
      <c r="G95" s="66">
        <f t="shared" si="21"/>
        <v>0</v>
      </c>
      <c r="H95" s="83">
        <f>Лист4!G62</f>
        <v>0</v>
      </c>
      <c r="I95" s="78"/>
    </row>
    <row r="96" spans="1:9" outlineLevel="1" x14ac:dyDescent="0.25">
      <c r="A96" s="79">
        <f>Лист4!A63</f>
        <v>226</v>
      </c>
      <c r="B96" s="67" t="str">
        <f>Лист4!B63</f>
        <v>Пользованеие конструктивными элементами здания</v>
      </c>
      <c r="C96" s="14" t="s">
        <v>132</v>
      </c>
      <c r="D96" s="444">
        <v>1</v>
      </c>
      <c r="E96" s="81">
        <f t="shared" si="13"/>
        <v>274063</v>
      </c>
      <c r="F96" s="85">
        <f t="shared" si="20"/>
        <v>3.6487960797334921E-3</v>
      </c>
      <c r="G96" s="66">
        <f t="shared" si="21"/>
        <v>0</v>
      </c>
      <c r="H96" s="83">
        <f>Лист4!G63</f>
        <v>0</v>
      </c>
      <c r="I96" s="78"/>
    </row>
    <row r="97" spans="1:9" outlineLevel="1" x14ac:dyDescent="0.25">
      <c r="A97" s="79">
        <f>Лист4!A73</f>
        <v>341</v>
      </c>
      <c r="B97" s="67" t="str">
        <f>Лист4!B73</f>
        <v>Медицинские средства</v>
      </c>
      <c r="C97" s="14" t="s">
        <v>132</v>
      </c>
      <c r="D97" s="444">
        <v>1</v>
      </c>
      <c r="E97" s="81">
        <f t="shared" si="13"/>
        <v>274063</v>
      </c>
      <c r="F97" s="85">
        <f t="shared" si="20"/>
        <v>3.6487960797334921E-3</v>
      </c>
      <c r="G97" s="66">
        <f t="shared" si="21"/>
        <v>0</v>
      </c>
      <c r="H97" s="83">
        <f>Лист4!G73</f>
        <v>0</v>
      </c>
      <c r="I97" s="420"/>
    </row>
    <row r="98" spans="1:9" outlineLevel="1" x14ac:dyDescent="0.25">
      <c r="A98" s="79">
        <f>Лист4!A74</f>
        <v>341</v>
      </c>
      <c r="B98" s="67" t="str">
        <f>Лист4!B74</f>
        <v>Ветеринарные препараты</v>
      </c>
      <c r="C98" s="14" t="s">
        <v>132</v>
      </c>
      <c r="D98" s="444">
        <v>1</v>
      </c>
      <c r="E98" s="81">
        <f t="shared" si="13"/>
        <v>274063</v>
      </c>
      <c r="F98" s="85">
        <f t="shared" si="20"/>
        <v>3.6487960797334921E-3</v>
      </c>
      <c r="G98" s="66">
        <f t="shared" si="21"/>
        <v>0</v>
      </c>
      <c r="H98" s="83">
        <f>Лист4!G74</f>
        <v>0</v>
      </c>
      <c r="I98" s="420"/>
    </row>
    <row r="99" spans="1:9" outlineLevel="1" x14ac:dyDescent="0.25">
      <c r="A99" s="79">
        <f>Лист4!A76</f>
        <v>341</v>
      </c>
      <c r="B99" s="67" t="str">
        <f>Лист4!B76</f>
        <v>Микрочипы</v>
      </c>
      <c r="C99" s="14" t="s">
        <v>132</v>
      </c>
      <c r="D99" s="444">
        <v>1</v>
      </c>
      <c r="E99" s="81">
        <f t="shared" si="13"/>
        <v>274063</v>
      </c>
      <c r="F99" s="85">
        <f t="shared" si="20"/>
        <v>3.6487960797334921E-3</v>
      </c>
      <c r="G99" s="66">
        <f t="shared" si="21"/>
        <v>0</v>
      </c>
      <c r="H99" s="83">
        <f>Лист4!G76</f>
        <v>0</v>
      </c>
      <c r="I99" s="420"/>
    </row>
    <row r="100" spans="1:9" outlineLevel="1" x14ac:dyDescent="0.25">
      <c r="A100" s="79">
        <f>Лист4!A78</f>
        <v>214</v>
      </c>
      <c r="B100" s="67" t="str">
        <f>Лист4!B78</f>
        <v>Прочие выплаты (проезд к месту отдыха и обрано)</v>
      </c>
      <c r="C100" s="14" t="s">
        <v>132</v>
      </c>
      <c r="D100" s="444">
        <v>1</v>
      </c>
      <c r="E100" s="81">
        <f t="shared" si="13"/>
        <v>274063</v>
      </c>
      <c r="F100" s="85">
        <f t="shared" si="20"/>
        <v>3.6487960797334921E-3</v>
      </c>
      <c r="G100" s="66">
        <f t="shared" si="21"/>
        <v>0</v>
      </c>
      <c r="H100" s="83">
        <f>Лист4!G78</f>
        <v>0</v>
      </c>
      <c r="I100" s="420"/>
    </row>
  </sheetData>
  <mergeCells count="15">
    <mergeCell ref="A70:G70"/>
    <mergeCell ref="A1:I1"/>
    <mergeCell ref="A48:I48"/>
    <mergeCell ref="A69:G69"/>
    <mergeCell ref="A31:I31"/>
    <mergeCell ref="A37:G37"/>
    <mergeCell ref="A38:I38"/>
    <mergeCell ref="A41:G41"/>
    <mergeCell ref="A42:I42"/>
    <mergeCell ref="A47:G47"/>
    <mergeCell ref="A30:G30"/>
    <mergeCell ref="A11:G11"/>
    <mergeCell ref="A12:I12"/>
    <mergeCell ref="A20:G20"/>
    <mergeCell ref="A21:I21"/>
  </mergeCells>
  <printOptions horizontalCentered="1"/>
  <pageMargins left="0.23622047244094491" right="0.23622047244094491" top="0.74803149606299213" bottom="0.74803149606299213" header="0" footer="0"/>
  <pageSetup paperSize="9" scale="6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78" t="s">
        <v>538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№15!B6</f>
        <v>Основной персонал (ветеринарные и лабораторные специалисты)</v>
      </c>
      <c r="C6" s="875">
        <f>'ФВ РЦВК'!O21</f>
        <v>892.8</v>
      </c>
      <c r="D6" s="876">
        <f>'ФВ РЦВК'!G21</f>
        <v>465</v>
      </c>
      <c r="E6" s="878">
        <f>C6/D6</f>
        <v>1.92</v>
      </c>
      <c r="F6" s="875">
        <f>№15!F6</f>
        <v>49567.094099296366</v>
      </c>
      <c r="G6" s="876">
        <f>№9!G6</f>
        <v>260.16000000000003</v>
      </c>
      <c r="H6" s="150">
        <f>E6*G6</f>
        <v>499.50720000000001</v>
      </c>
      <c r="I6" s="151" t="str">
        <f>№15!I6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130" t="s">
        <v>8</v>
      </c>
      <c r="B7" s="1131"/>
      <c r="C7" s="1131"/>
      <c r="D7" s="1131"/>
      <c r="E7" s="1131"/>
      <c r="F7" s="1131"/>
      <c r="G7" s="1132"/>
      <c r="H7" s="122">
        <f>SUM(H6:H6)</f>
        <v>499.50720000000001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9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SUM(H11:H17)</f>
        <v>2.3810836411970504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 t="s">
        <v>317</v>
      </c>
      <c r="C22" s="132"/>
      <c r="D22" s="44">
        <f>$D$6</f>
        <v>465</v>
      </c>
      <c r="E22" s="43"/>
      <c r="F22" s="43">
        <v>1</v>
      </c>
      <c r="G22" s="121">
        <f>№15!G22</f>
        <v>0.5</v>
      </c>
      <c r="H22" s="150">
        <f>C22/D22*G22</f>
        <v>0</v>
      </c>
      <c r="I22" s="1118" t="str">
        <f>№15!I22</f>
        <v>стоимость 1 пачки  250 руб, 500 листов</v>
      </c>
    </row>
    <row r="23" spans="1:9" ht="15" customHeight="1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0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501.88828364119706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539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102" x14ac:dyDescent="0.25">
      <c r="A6" s="130" t="s">
        <v>181</v>
      </c>
      <c r="B6" s="131">
        <f>№16!H7</f>
        <v>499.50720000000001</v>
      </c>
      <c r="C6" s="131">
        <f>№16!H18</f>
        <v>2.3810836411970504</v>
      </c>
      <c r="D6" s="131">
        <f>№16!H23</f>
        <v>0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650.68396903817882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78" t="s">
        <v>540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№16!B6</f>
        <v>Основной персонал (ветеринарные и лабораторные специалисты)</v>
      </c>
      <c r="C6" s="875">
        <f>'ФВ РЦВК'!O22</f>
        <v>8005</v>
      </c>
      <c r="D6" s="875">
        <f>'ФВ РЦВК'!G22</f>
        <v>160100</v>
      </c>
      <c r="E6" s="512">
        <f>C6/D6</f>
        <v>0.05</v>
      </c>
      <c r="F6" s="875">
        <f>№16!F6</f>
        <v>49567.094099296366</v>
      </c>
      <c r="G6" s="876">
        <f>№9!G6</f>
        <v>260.16000000000003</v>
      </c>
      <c r="H6" s="150">
        <f>E6*G6</f>
        <v>13.008000000000003</v>
      </c>
      <c r="I6" s="151" t="str">
        <f>№16!I6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130" t="s">
        <v>8</v>
      </c>
      <c r="B7" s="1131"/>
      <c r="C7" s="1131"/>
      <c r="D7" s="1131"/>
      <c r="E7" s="1131"/>
      <c r="F7" s="1131"/>
      <c r="G7" s="1132"/>
      <c r="H7" s="122">
        <f>SUM(H6:H6)</f>
        <v>13.008000000000003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9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SUM(H11:H17)</f>
        <v>2.3810836411970504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 t="s">
        <v>317</v>
      </c>
      <c r="C22" s="132"/>
      <c r="D22" s="44">
        <f>D6</f>
        <v>160100</v>
      </c>
      <c r="E22" s="43">
        <f>C22/D22</f>
        <v>0</v>
      </c>
      <c r="F22" s="43">
        <v>1</v>
      </c>
      <c r="G22" s="121">
        <f>№16!G22</f>
        <v>0.5</v>
      </c>
      <c r="H22" s="150">
        <f>C22/D22*G22</f>
        <v>0</v>
      </c>
      <c r="I22" s="1118" t="str">
        <f>№16!I22</f>
        <v>стоимость 1 пачки  250 руб, 500 листов</v>
      </c>
    </row>
    <row r="23" spans="1:9" ht="15" customHeight="1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0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15.389083641197054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541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51" x14ac:dyDescent="0.25">
      <c r="A6" s="130" t="s">
        <v>182</v>
      </c>
      <c r="B6" s="131">
        <f>№17!H7</f>
        <v>13.008000000000003</v>
      </c>
      <c r="C6" s="131">
        <f>№17!H18</f>
        <v>2.3810836411970504</v>
      </c>
      <c r="D6" s="131">
        <f>№17!H23</f>
        <v>0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164.18476903817881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J25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0" style="60" hidden="1" customWidth="1"/>
    <col min="11" max="16384" width="8.85546875" style="60"/>
  </cols>
  <sheetData>
    <row r="1" spans="1:9" x14ac:dyDescent="0.25">
      <c r="A1" s="1078" t="s">
        <v>542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№17!B6</f>
        <v>Основной персонал (ветеринарные и лабораторные специалисты)</v>
      </c>
      <c r="C6" s="875">
        <f>'ФВ РЦВК'!O23</f>
        <v>877</v>
      </c>
      <c r="D6" s="876">
        <f>'ФВ РЦВК'!G23</f>
        <v>877</v>
      </c>
      <c r="E6" s="880">
        <f>C6/D6</f>
        <v>1</v>
      </c>
      <c r="F6" s="875">
        <f>№17!F6</f>
        <v>49567.094099296366</v>
      </c>
      <c r="G6" s="876">
        <f>№9!G6</f>
        <v>260.16000000000003</v>
      </c>
      <c r="H6" s="150">
        <f>E6*G6</f>
        <v>260.16000000000003</v>
      </c>
      <c r="I6" s="151" t="str">
        <f>№17!I6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260.16000000000003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8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10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10" ht="30" outlineLevel="1" x14ac:dyDescent="0.25">
      <c r="A18" s="19">
        <v>8</v>
      </c>
      <c r="B18" s="54" t="s">
        <v>101</v>
      </c>
      <c r="C18" s="148">
        <f>D6*1</f>
        <v>877</v>
      </c>
      <c r="D18" s="121">
        <f>$D$6</f>
        <v>877</v>
      </c>
      <c r="E18" s="43">
        <f t="shared" ref="E18" si="3">C18/D18</f>
        <v>1</v>
      </c>
      <c r="F18" s="43">
        <v>1</v>
      </c>
      <c r="G18" s="148">
        <f>SUMIF('МЗ РЦВК'!$B$5:$B$45,$B18,'МЗ РЦВК'!$C$5:$C$45)</f>
        <v>3.13</v>
      </c>
      <c r="H18" s="121">
        <f t="shared" si="2"/>
        <v>3.13</v>
      </c>
      <c r="I18" s="1102"/>
      <c r="J18" s="631">
        <f>H18*D18</f>
        <v>2745.0099999999998</v>
      </c>
    </row>
    <row r="19" spans="1:10" x14ac:dyDescent="0.25">
      <c r="A19" s="1120" t="s">
        <v>14</v>
      </c>
      <c r="B19" s="1121"/>
      <c r="C19" s="1121"/>
      <c r="D19" s="1121"/>
      <c r="E19" s="1121"/>
      <c r="F19" s="1121"/>
      <c r="G19" s="1122"/>
      <c r="H19" s="122">
        <f>SUM(H11:H18)</f>
        <v>5.5110836411970503</v>
      </c>
      <c r="I19" s="1104"/>
    </row>
    <row r="20" spans="1:10" s="123" customFormat="1" ht="67.5" x14ac:dyDescent="0.25">
      <c r="A20" s="141" t="s">
        <v>0</v>
      </c>
      <c r="B20" s="141" t="s">
        <v>9</v>
      </c>
      <c r="C20" s="637" t="s">
        <v>1278</v>
      </c>
      <c r="D20" s="141" t="s">
        <v>123</v>
      </c>
      <c r="E20" s="141" t="s">
        <v>10</v>
      </c>
      <c r="F20" s="141" t="s">
        <v>15</v>
      </c>
      <c r="G20" s="141" t="s">
        <v>939</v>
      </c>
      <c r="H20" s="141" t="s">
        <v>347</v>
      </c>
      <c r="I20" s="141" t="s">
        <v>4</v>
      </c>
    </row>
    <row r="21" spans="1:10" s="123" customFormat="1" ht="11.25" x14ac:dyDescent="0.25">
      <c r="A21" s="8">
        <v>1</v>
      </c>
      <c r="B21" s="8">
        <v>2</v>
      </c>
      <c r="C21" s="8">
        <v>3</v>
      </c>
      <c r="D21" s="8">
        <v>4</v>
      </c>
      <c r="E21" s="8" t="s">
        <v>5</v>
      </c>
      <c r="F21" s="8">
        <v>6</v>
      </c>
      <c r="G21" s="8">
        <v>7</v>
      </c>
      <c r="H21" s="8" t="s">
        <v>12</v>
      </c>
      <c r="I21" s="8">
        <v>9</v>
      </c>
    </row>
    <row r="22" spans="1:10" x14ac:dyDescent="0.25">
      <c r="A22" s="1117" t="s">
        <v>16</v>
      </c>
      <c r="B22" s="1117"/>
      <c r="C22" s="1117"/>
      <c r="D22" s="1117"/>
      <c r="E22" s="1117"/>
      <c r="F22" s="1117"/>
      <c r="G22" s="1117"/>
      <c r="H22" s="1117"/>
      <c r="I22" s="1117"/>
    </row>
    <row r="23" spans="1:10" outlineLevel="1" x14ac:dyDescent="0.25">
      <c r="A23" s="19">
        <v>1</v>
      </c>
      <c r="B23" s="124" t="s">
        <v>317</v>
      </c>
      <c r="C23" s="132"/>
      <c r="D23" s="121">
        <f>$D$6</f>
        <v>877</v>
      </c>
      <c r="E23" s="43">
        <f>C23/D23</f>
        <v>0</v>
      </c>
      <c r="F23" s="43">
        <v>1</v>
      </c>
      <c r="G23" s="121">
        <f>№17!G22</f>
        <v>0.5</v>
      </c>
      <c r="H23" s="150">
        <f>C23/D23*G23</f>
        <v>0</v>
      </c>
      <c r="I23" s="1118" t="str">
        <f>№17!I22</f>
        <v>стоимость 1 пачки  250 руб, 500 листов</v>
      </c>
    </row>
    <row r="24" spans="1:10" ht="15" customHeight="1" x14ac:dyDescent="0.25">
      <c r="A24" s="1120" t="s">
        <v>17</v>
      </c>
      <c r="B24" s="1121"/>
      <c r="C24" s="1121"/>
      <c r="D24" s="1121"/>
      <c r="E24" s="1121"/>
      <c r="F24" s="1121"/>
      <c r="G24" s="1122"/>
      <c r="H24" s="122">
        <f>SUM(H23:H23)</f>
        <v>0</v>
      </c>
      <c r="I24" s="1119"/>
    </row>
    <row r="25" spans="1:10" x14ac:dyDescent="0.25">
      <c r="A25" s="1127" t="s">
        <v>18</v>
      </c>
      <c r="B25" s="1128"/>
      <c r="C25" s="1128"/>
      <c r="D25" s="1128"/>
      <c r="E25" s="1128"/>
      <c r="F25" s="1128"/>
      <c r="G25" s="1129"/>
      <c r="H25" s="498">
        <f>H24+H19+H7</f>
        <v>265.67108364119707</v>
      </c>
      <c r="I25" s="43"/>
    </row>
  </sheetData>
  <mergeCells count="10">
    <mergeCell ref="A1:I1"/>
    <mergeCell ref="A22:I22"/>
    <mergeCell ref="I23:I24"/>
    <mergeCell ref="A24:G24"/>
    <mergeCell ref="A25:G25"/>
    <mergeCell ref="A7:G7"/>
    <mergeCell ref="A10:I10"/>
    <mergeCell ref="A19:G19"/>
    <mergeCell ref="I11:I17"/>
    <mergeCell ref="I18:I19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9.85546875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543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63.75" x14ac:dyDescent="0.25">
      <c r="A6" s="130" t="s">
        <v>184</v>
      </c>
      <c r="B6" s="131">
        <f>№18!H7</f>
        <v>260.16000000000003</v>
      </c>
      <c r="C6" s="131">
        <f>№18!H19</f>
        <v>5.5110836411970503</v>
      </c>
      <c r="D6" s="131">
        <f>№18!H24</f>
        <v>0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414.46676903817877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8" sqref="H18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78" t="s">
        <v>544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14" t="s">
        <v>129</v>
      </c>
      <c r="B6" s="147" t="str">
        <f>№18!B6</f>
        <v>Основной персонал (ветеринарные и лабораторные специалисты)</v>
      </c>
      <c r="C6" s="875">
        <f>'ФВ РЦВК'!O24</f>
        <v>16.5</v>
      </c>
      <c r="D6" s="876">
        <f>'ФВ РЦВК'!G24</f>
        <v>66</v>
      </c>
      <c r="E6" s="878">
        <f>C6/D6</f>
        <v>0.25</v>
      </c>
      <c r="F6" s="875">
        <f>№18!F6</f>
        <v>49567.094099296366</v>
      </c>
      <c r="G6" s="876">
        <f>№9!G6</f>
        <v>260.16000000000003</v>
      </c>
      <c r="H6" s="150">
        <f>E6*G6</f>
        <v>65.040000000000006</v>
      </c>
      <c r="I6" s="151" t="str">
        <f>№18!I6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65.040000000000006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9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SUM(H11:H17)</f>
        <v>2.3810836411970504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 t="s">
        <v>317</v>
      </c>
      <c r="C22" s="148">
        <f>$D$6*E22</f>
        <v>132</v>
      </c>
      <c r="D22" s="44">
        <f>$D$6</f>
        <v>66</v>
      </c>
      <c r="E22" s="43">
        <v>2</v>
      </c>
      <c r="F22" s="43">
        <v>1</v>
      </c>
      <c r="G22" s="121">
        <f>№18!G23</f>
        <v>0.5</v>
      </c>
      <c r="H22" s="150">
        <f>C22/D22*G22</f>
        <v>1</v>
      </c>
      <c r="I22" s="1118" t="str">
        <f>№18!I23</f>
        <v>стоимость 1 пачки  250 руб, 500 листов</v>
      </c>
    </row>
    <row r="23" spans="1:9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1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68.421083641197058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545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63.75" x14ac:dyDescent="0.25">
      <c r="A6" s="130" t="s">
        <v>185</v>
      </c>
      <c r="B6" s="131">
        <f>№19!H7</f>
        <v>65.040000000000006</v>
      </c>
      <c r="C6" s="131">
        <f>№19!H18</f>
        <v>2.3810836411970504</v>
      </c>
      <c r="D6" s="131">
        <f>№19!H23</f>
        <v>1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217.2167690381788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I24"/>
  <sheetViews>
    <sheetView zoomScaleNormal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H19" sqref="H19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6384" width="8.85546875" style="60"/>
  </cols>
  <sheetData>
    <row r="1" spans="1:9" x14ac:dyDescent="0.25">
      <c r="A1" s="1078" t="s">
        <v>546</v>
      </c>
      <c r="B1" s="1078"/>
      <c r="C1" s="1078"/>
      <c r="D1" s="1078"/>
      <c r="E1" s="1078"/>
      <c r="F1" s="1078"/>
      <c r="G1" s="1078"/>
      <c r="H1" s="1078"/>
      <c r="I1" s="1078"/>
    </row>
    <row r="2" spans="1:9" ht="6" customHeight="1" x14ac:dyDescent="0.25"/>
    <row r="3" spans="1:9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9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9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9" ht="102" outlineLevel="1" x14ac:dyDescent="0.25">
      <c r="A6" s="20" t="s">
        <v>129</v>
      </c>
      <c r="B6" s="147" t="str">
        <f>№19!B6</f>
        <v>Основной персонал (ветеринарные и лабораторные специалисты)</v>
      </c>
      <c r="C6" s="875">
        <f>'ФВ РЦВК'!O25</f>
        <v>115.5</v>
      </c>
      <c r="D6" s="881">
        <f>'ФВ РЦВК'!G25</f>
        <v>66</v>
      </c>
      <c r="E6" s="882">
        <f>C6/D6</f>
        <v>1.75</v>
      </c>
      <c r="F6" s="875">
        <f>№19!F6</f>
        <v>49567.094099296366</v>
      </c>
      <c r="G6" s="881">
        <f>№9!G6</f>
        <v>260.16000000000003</v>
      </c>
      <c r="H6" s="150">
        <f>E6*G6</f>
        <v>455.28000000000003</v>
      </c>
      <c r="I6" s="151" t="str">
        <f>№19!I6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 часов. Основной персонал 107 человек.
107 ставки х 1780,6 = 190 524,20
Определяется исходя из годового фонда оплаты труда и годового фонда рабочего времени:
основной персонал -  49 567,09 / 190 524,20 = 260,16</v>
      </c>
    </row>
    <row r="7" spans="1:9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455.28000000000003</v>
      </c>
      <c r="I7" s="447"/>
    </row>
    <row r="8" spans="1:9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</row>
    <row r="9" spans="1:9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9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9" ht="15" customHeight="1" outlineLevel="1" x14ac:dyDescent="0.25">
      <c r="A11" s="19">
        <v>1</v>
      </c>
      <c r="B11" s="147" t="s">
        <v>940</v>
      </c>
      <c r="C11" s="148">
        <f>'МЗ РЦВК'!$C$51*'МЗ РЦВК'!D5</f>
        <v>248</v>
      </c>
      <c r="D11" s="556">
        <f>№8!D11</f>
        <v>265212.859</v>
      </c>
      <c r="E11" s="43">
        <f>C11/D11</f>
        <v>9.3509794711726252E-4</v>
      </c>
      <c r="F11" s="43">
        <v>1</v>
      </c>
      <c r="G11" s="148">
        <f>SUMIF('МЗ РЦВК'!$B$5:$B$45,$B11,'МЗ РЦВК'!$C$5:$C$45)</f>
        <v>700</v>
      </c>
      <c r="H11" s="121">
        <f>E11*G11/F11</f>
        <v>0.65456856298208377</v>
      </c>
      <c r="I11" s="1095" t="s">
        <v>348</v>
      </c>
    </row>
    <row r="12" spans="1:9" ht="30" outlineLevel="1" x14ac:dyDescent="0.25">
      <c r="A12" s="19">
        <v>2</v>
      </c>
      <c r="B12" s="147" t="s">
        <v>941</v>
      </c>
      <c r="C12" s="148">
        <f>'МЗ РЦВК'!$C$51*'МЗ РЦВК'!D6</f>
        <v>248</v>
      </c>
      <c r="D12" s="557">
        <f t="shared" ref="D12:D17" si="0">$D$11</f>
        <v>265212.859</v>
      </c>
      <c r="E12" s="43">
        <f t="shared" ref="E12:E15" si="1">C12/D12</f>
        <v>9.3509794711726252E-4</v>
      </c>
      <c r="F12" s="43">
        <v>1</v>
      </c>
      <c r="G12" s="148">
        <f>SUMIF('МЗ РЦВК'!$B$5:$B$45,$B12,'МЗ РЦВК'!$C$5:$C$45)</f>
        <v>1400</v>
      </c>
      <c r="H12" s="121">
        <f t="shared" ref="H12:H17" si="2">E12*G12/F12</f>
        <v>1.3091371259641675</v>
      </c>
      <c r="I12" s="1095"/>
    </row>
    <row r="13" spans="1:9" outlineLevel="1" x14ac:dyDescent="0.25">
      <c r="A13" s="19">
        <v>3</v>
      </c>
      <c r="B13" s="147" t="s">
        <v>942</v>
      </c>
      <c r="C13" s="148">
        <f>'МЗ РЦВК'!$C$51*'МЗ РЦВК'!D7</f>
        <v>124</v>
      </c>
      <c r="D13" s="557">
        <f t="shared" si="0"/>
        <v>265212.859</v>
      </c>
      <c r="E13" s="43">
        <f t="shared" si="1"/>
        <v>4.6754897355863126E-4</v>
      </c>
      <c r="F13" s="43">
        <v>2</v>
      </c>
      <c r="G13" s="148">
        <f>SUMIF('МЗ РЦВК'!$B$5:$B$45,$B13,'МЗ РЦВК'!$C$5:$C$45)</f>
        <v>260</v>
      </c>
      <c r="H13" s="121">
        <f t="shared" si="2"/>
        <v>6.0781366562622063E-2</v>
      </c>
      <c r="I13" s="1095"/>
    </row>
    <row r="14" spans="1:9" ht="27.75" customHeight="1" outlineLevel="1" x14ac:dyDescent="0.25">
      <c r="A14" s="19">
        <v>4</v>
      </c>
      <c r="B14" s="147" t="s">
        <v>955</v>
      </c>
      <c r="C14" s="148">
        <f>'МЗ РЦВК'!C48*'МЗ РЦВК'!D8</f>
        <v>80</v>
      </c>
      <c r="D14" s="557">
        <f t="shared" si="0"/>
        <v>265212.859</v>
      </c>
      <c r="E14" s="624">
        <f t="shared" si="1"/>
        <v>3.0164449907008468E-4</v>
      </c>
      <c r="F14" s="43">
        <v>2</v>
      </c>
      <c r="G14" s="148">
        <f>SUMIF('МЗ РЦВК'!$B$5:$B$45,$B14,'МЗ РЦВК'!$C$5:$C$45)</f>
        <v>980</v>
      </c>
      <c r="H14" s="121">
        <f t="shared" si="2"/>
        <v>0.1478058045443415</v>
      </c>
      <c r="I14" s="1095"/>
    </row>
    <row r="15" spans="1:9" ht="15" customHeight="1" outlineLevel="1" x14ac:dyDescent="0.25">
      <c r="A15" s="19">
        <v>5</v>
      </c>
      <c r="B15" s="147" t="s">
        <v>943</v>
      </c>
      <c r="C15" s="148">
        <f>'МЗ РЦВК'!C50*'МЗ РЦВК'!D9</f>
        <v>54</v>
      </c>
      <c r="D15" s="557">
        <f t="shared" si="0"/>
        <v>265212.859</v>
      </c>
      <c r="E15" s="43">
        <f t="shared" si="1"/>
        <v>2.0361003687230717E-4</v>
      </c>
      <c r="F15" s="43">
        <v>1</v>
      </c>
      <c r="G15" s="148">
        <f>SUMIF('МЗ РЦВК'!$B$5:$B$45,$B15,'МЗ РЦВК'!$C$5:$C$45)</f>
        <v>61</v>
      </c>
      <c r="H15" s="121">
        <f t="shared" si="2"/>
        <v>1.2420212249210737E-2</v>
      </c>
      <c r="I15" s="1095"/>
    </row>
    <row r="16" spans="1:9" outlineLevel="1" x14ac:dyDescent="0.25">
      <c r="A16" s="19">
        <v>6</v>
      </c>
      <c r="B16" s="147" t="s">
        <v>149</v>
      </c>
      <c r="C16" s="148">
        <f>'МЗ РЦВК'!$C$51*'МЗ РЦВК'!D10</f>
        <v>496</v>
      </c>
      <c r="D16" s="557">
        <f t="shared" si="0"/>
        <v>265212.859</v>
      </c>
      <c r="E16" s="43">
        <f>C16/D16</f>
        <v>1.870195894234525E-3</v>
      </c>
      <c r="F16" s="43">
        <v>1</v>
      </c>
      <c r="G16" s="148">
        <f>SUMIF('МЗ РЦВК'!$B$5:$B$45,$B16,'МЗ РЦВК'!$C$5:$C$45)</f>
        <v>55</v>
      </c>
      <c r="H16" s="121">
        <f t="shared" si="2"/>
        <v>0.10286077418289888</v>
      </c>
      <c r="I16" s="1095"/>
    </row>
    <row r="17" spans="1:9" outlineLevel="1" x14ac:dyDescent="0.25">
      <c r="A17" s="19">
        <v>7</v>
      </c>
      <c r="B17" s="147" t="s">
        <v>150</v>
      </c>
      <c r="C17" s="148">
        <f>'МЗ РЦВК'!$C$51*'МЗ РЦВК'!D11</f>
        <v>992</v>
      </c>
      <c r="D17" s="557">
        <f t="shared" si="0"/>
        <v>265212.859</v>
      </c>
      <c r="E17" s="43">
        <f>C17/D17</f>
        <v>3.7403917884690501E-3</v>
      </c>
      <c r="F17" s="43">
        <v>1</v>
      </c>
      <c r="G17" s="148">
        <f>SUMIF('МЗ РЦВК'!$B$5:$B$45,$B17,'МЗ РЦВК'!$C$5:$C$45)</f>
        <v>25</v>
      </c>
      <c r="H17" s="121">
        <f t="shared" si="2"/>
        <v>9.3509794711726255E-2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SUM(H11:H17)</f>
        <v>2.3810836411970504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637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 t="s">
        <v>317</v>
      </c>
      <c r="C22" s="132"/>
      <c r="D22" s="44">
        <f>D6</f>
        <v>66</v>
      </c>
      <c r="E22" s="43">
        <f>C22/D22</f>
        <v>0</v>
      </c>
      <c r="F22" s="43">
        <v>1</v>
      </c>
      <c r="G22" s="121">
        <f>№19!G22</f>
        <v>0.5</v>
      </c>
      <c r="H22" s="150">
        <f>C22/D22*G22</f>
        <v>0</v>
      </c>
      <c r="I22" s="1118" t="str">
        <f>№19!I22</f>
        <v>стоимость 1 пачки  250 руб, 500 листов</v>
      </c>
    </row>
    <row r="23" spans="1:9" ht="15" customHeight="1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0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457.66108364119708</v>
      </c>
      <c r="I24" s="43"/>
    </row>
  </sheetData>
  <mergeCells count="9">
    <mergeCell ref="A1:I1"/>
    <mergeCell ref="A21:I21"/>
    <mergeCell ref="I22:I23"/>
    <mergeCell ref="A23:G23"/>
    <mergeCell ref="A24:G24"/>
    <mergeCell ref="A7:G7"/>
    <mergeCell ref="A10:I10"/>
    <mergeCell ref="I11:I18"/>
    <mergeCell ref="A18:G18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547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51" x14ac:dyDescent="0.25">
      <c r="A6" s="130" t="s">
        <v>186</v>
      </c>
      <c r="B6" s="131">
        <f>№20!H7</f>
        <v>455.28000000000003</v>
      </c>
      <c r="C6" s="131">
        <f>№20!H18</f>
        <v>2.3810836411970504</v>
      </c>
      <c r="D6" s="131">
        <f>№20!H23</f>
        <v>0</v>
      </c>
      <c r="E6" s="275">
        <f>'ОХЗ (поГЗ)'!H11</f>
        <v>21.564670816272169</v>
      </c>
      <c r="F6" s="275">
        <f>'ОХЗ (поГЗ)'!H20</f>
        <v>13.501244810169926</v>
      </c>
      <c r="G6" s="275">
        <f>'ОХЗ (поГЗ)'!H30</f>
        <v>9.3003127382069088</v>
      </c>
      <c r="H6" s="275">
        <f>'ОХЗ (поГЗ)'!H37</f>
        <v>3.3832650606612349</v>
      </c>
      <c r="I6" s="275">
        <f>'ОХЗ (поГЗ)'!H41</f>
        <v>1.3047282121264089E-2</v>
      </c>
      <c r="J6" s="275">
        <f>'ОХЗ (поГЗ)'!H47</f>
        <v>90.342074050449199</v>
      </c>
      <c r="K6" s="275">
        <f>'ОХЗ (поГЗ)'!H69</f>
        <v>10.691070639101032</v>
      </c>
      <c r="L6" s="131">
        <f>SUM(B6:K6)</f>
        <v>606.45676903817878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outlinePr summaryBelow="0"/>
  </sheetPr>
  <dimension ref="A1:K88"/>
  <sheetViews>
    <sheetView zoomScale="95" zoomScaleNormal="95" workbookViewId="0">
      <pane xSplit="3" ySplit="4" topLeftCell="D5" activePane="bottomRight" state="frozen"/>
      <selection activeCell="C6" sqref="C6"/>
      <selection pane="topRight" activeCell="C6" sqref="C6"/>
      <selection pane="bottomLeft" activeCell="C6" sqref="C6"/>
      <selection pane="bottomRight" activeCell="S40" sqref="S40"/>
    </sheetView>
  </sheetViews>
  <sheetFormatPr defaultColWidth="8.85546875" defaultRowHeight="12.75" outlineLevelRow="1" x14ac:dyDescent="0.25"/>
  <cols>
    <col min="1" max="1" width="7.7109375" style="18" customWidth="1"/>
    <col min="2" max="2" width="48" style="68" customWidth="1"/>
    <col min="3" max="3" width="13.42578125" style="18" customWidth="1"/>
    <col min="4" max="4" width="10.5703125" style="68" customWidth="1"/>
    <col min="5" max="5" width="14.7109375" style="68" customWidth="1"/>
    <col min="6" max="6" width="15.85546875" style="68" customWidth="1"/>
    <col min="7" max="7" width="10.140625" style="68" customWidth="1"/>
    <col min="8" max="8" width="9.7109375" style="68" bestFit="1" customWidth="1"/>
    <col min="9" max="9" width="19" style="68" customWidth="1"/>
    <col min="10" max="11" width="0" style="68" hidden="1" customWidth="1"/>
    <col min="12" max="16384" width="8.85546875" style="68"/>
  </cols>
  <sheetData>
    <row r="1" spans="1:11" ht="15.75" x14ac:dyDescent="0.25">
      <c r="A1" s="993" t="s">
        <v>1302</v>
      </c>
      <c r="B1" s="993"/>
      <c r="C1" s="993"/>
      <c r="D1" s="993"/>
      <c r="E1" s="993"/>
      <c r="F1" s="993"/>
      <c r="G1" s="993"/>
      <c r="H1" s="993"/>
      <c r="I1" s="993"/>
    </row>
    <row r="2" spans="1:11" ht="3.75" customHeight="1" x14ac:dyDescent="0.25">
      <c r="B2" s="60"/>
      <c r="C2" s="896"/>
      <c r="D2" s="60"/>
      <c r="E2" s="60"/>
      <c r="F2" s="60"/>
      <c r="G2" s="60"/>
      <c r="H2" s="60"/>
    </row>
    <row r="3" spans="1:11" ht="76.5" x14ac:dyDescent="0.25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124</v>
      </c>
      <c r="F3" s="13" t="s">
        <v>65</v>
      </c>
      <c r="G3" s="13" t="s">
        <v>66</v>
      </c>
      <c r="H3" s="13" t="s">
        <v>67</v>
      </c>
      <c r="I3" s="13" t="s">
        <v>68</v>
      </c>
    </row>
    <row r="4" spans="1:11" x14ac:dyDescent="0.25">
      <c r="A4" s="14">
        <v>1</v>
      </c>
      <c r="B4" s="14">
        <v>1</v>
      </c>
      <c r="C4" s="14">
        <v>2</v>
      </c>
      <c r="D4" s="14">
        <v>3</v>
      </c>
      <c r="E4" s="14">
        <v>4</v>
      </c>
      <c r="F4" s="14" t="s">
        <v>125</v>
      </c>
      <c r="G4" s="14">
        <v>6</v>
      </c>
      <c r="H4" s="14" t="s">
        <v>133</v>
      </c>
      <c r="I4" s="13"/>
    </row>
    <row r="5" spans="1:11" ht="13.5" x14ac:dyDescent="0.25">
      <c r="A5" s="63" t="s">
        <v>69</v>
      </c>
      <c r="B5" s="64"/>
      <c r="C5" s="64"/>
      <c r="D5" s="64"/>
      <c r="E5" s="64"/>
      <c r="F5" s="64"/>
      <c r="G5" s="64"/>
      <c r="H5" s="64"/>
      <c r="I5" s="65"/>
    </row>
    <row r="6" spans="1:11" outlineLevel="1" x14ac:dyDescent="0.25">
      <c r="A6" s="14">
        <f>Лист4!A6</f>
        <v>223</v>
      </c>
      <c r="B6" s="70" t="s">
        <v>127</v>
      </c>
      <c r="C6" s="15" t="s">
        <v>70</v>
      </c>
      <c r="D6" s="415">
        <f>E6*F6</f>
        <v>0</v>
      </c>
      <c r="E6" s="81">
        <f>Лист4!H4</f>
        <v>282582</v>
      </c>
      <c r="F6" s="82">
        <f>H6/G6</f>
        <v>0</v>
      </c>
      <c r="G6" s="638">
        <v>7.6908193987489986</v>
      </c>
      <c r="H6" s="83">
        <f>Лист4!H6</f>
        <v>0</v>
      </c>
      <c r="I6" s="70"/>
    </row>
    <row r="7" spans="1:11" outlineLevel="1" x14ac:dyDescent="0.25">
      <c r="A7" s="14">
        <f>Лист4!A7</f>
        <v>223</v>
      </c>
      <c r="B7" s="70" t="s">
        <v>71</v>
      </c>
      <c r="C7" s="15" t="s">
        <v>72</v>
      </c>
      <c r="D7" s="415">
        <f>E7*F7</f>
        <v>0</v>
      </c>
      <c r="E7" s="81">
        <f>$E$6</f>
        <v>282582</v>
      </c>
      <c r="F7" s="82">
        <f>H7/G7</f>
        <v>0</v>
      </c>
      <c r="G7" s="638">
        <v>4917.6757189397395</v>
      </c>
      <c r="H7" s="83">
        <f>Лист4!H7</f>
        <v>0</v>
      </c>
      <c r="I7" s="70"/>
    </row>
    <row r="8" spans="1:11" ht="15.75" outlineLevel="1" x14ac:dyDescent="0.25">
      <c r="A8" s="14">
        <f>Лист4!A8</f>
        <v>223</v>
      </c>
      <c r="B8" s="70" t="str">
        <f>Лист4!B8</f>
        <v>Холодное водоснабжение, водоотведение</v>
      </c>
      <c r="C8" s="15" t="s">
        <v>73</v>
      </c>
      <c r="D8" s="415">
        <f>E8*F8</f>
        <v>0</v>
      </c>
      <c r="E8" s="81">
        <f>$E$6</f>
        <v>282582</v>
      </c>
      <c r="F8" s="82">
        <f>H8/G8</f>
        <v>0</v>
      </c>
      <c r="G8" s="638">
        <v>47.958576428087603</v>
      </c>
      <c r="H8" s="83">
        <f>Лист4!H8</f>
        <v>0</v>
      </c>
      <c r="I8" s="70"/>
    </row>
    <row r="9" spans="1:11" outlineLevel="1" x14ac:dyDescent="0.25">
      <c r="A9" s="14">
        <f>Лист4!A9</f>
        <v>223</v>
      </c>
      <c r="B9" s="70" t="str">
        <f>Лист4!B9</f>
        <v>Вывоз ТБО</v>
      </c>
      <c r="C9" s="14" t="s">
        <v>132</v>
      </c>
      <c r="D9" s="15">
        <v>1</v>
      </c>
      <c r="E9" s="81">
        <f>$E$6</f>
        <v>282582</v>
      </c>
      <c r="F9" s="82">
        <f>D9*1000/E9</f>
        <v>3.5387958185588608E-3</v>
      </c>
      <c r="G9" s="638">
        <v>547.15</v>
      </c>
      <c r="H9" s="83">
        <f>Лист4!H9</f>
        <v>0</v>
      </c>
      <c r="I9" s="420"/>
    </row>
    <row r="10" spans="1:11" ht="25.5" hidden="1" outlineLevel="1" x14ac:dyDescent="0.25">
      <c r="A10" s="14">
        <f>Лист4!A10</f>
        <v>223</v>
      </c>
      <c r="B10" s="70" t="s">
        <v>128</v>
      </c>
      <c r="C10" s="15" t="s">
        <v>130</v>
      </c>
      <c r="D10" s="15">
        <v>12</v>
      </c>
      <c r="E10" s="81">
        <f>$E$6</f>
        <v>282582</v>
      </c>
      <c r="F10" s="82">
        <f>D10/E10</f>
        <v>4.2465549822706326E-5</v>
      </c>
      <c r="G10" s="514"/>
      <c r="H10" s="83">
        <f>Лист4!G10</f>
        <v>0</v>
      </c>
      <c r="I10" s="67" t="s">
        <v>126</v>
      </c>
    </row>
    <row r="11" spans="1:11" ht="13.5" x14ac:dyDescent="0.25">
      <c r="A11" s="1006" t="s">
        <v>74</v>
      </c>
      <c r="B11" s="1007"/>
      <c r="C11" s="1007"/>
      <c r="D11" s="1007"/>
      <c r="E11" s="1007"/>
      <c r="F11" s="1007"/>
      <c r="G11" s="1007"/>
      <c r="H11" s="84">
        <f>SUM(H6:H10)</f>
        <v>0</v>
      </c>
      <c r="I11" s="70"/>
      <c r="J11" s="69">
        <f>Лист4!H11</f>
        <v>0</v>
      </c>
      <c r="K11" s="69">
        <f>J11-H11</f>
        <v>0</v>
      </c>
    </row>
    <row r="12" spans="1:11" ht="13.5" x14ac:dyDescent="0.25">
      <c r="A12" s="1002" t="s">
        <v>75</v>
      </c>
      <c r="B12" s="1003"/>
      <c r="C12" s="1003"/>
      <c r="D12" s="1003"/>
      <c r="E12" s="1003"/>
      <c r="F12" s="1003"/>
      <c r="G12" s="1003"/>
      <c r="H12" s="1003"/>
      <c r="I12" s="1004"/>
    </row>
    <row r="13" spans="1:11" ht="38.25" outlineLevel="1" x14ac:dyDescent="0.25">
      <c r="A13" s="14">
        <f>Лист4!A13</f>
        <v>225</v>
      </c>
      <c r="B13" s="67" t="s">
        <v>76</v>
      </c>
      <c r="C13" s="14" t="s">
        <v>132</v>
      </c>
      <c r="D13" s="15">
        <v>1</v>
      </c>
      <c r="E13" s="81">
        <f t="shared" ref="E13:E19" si="0">$E$6</f>
        <v>282582</v>
      </c>
      <c r="F13" s="85">
        <f t="shared" ref="F13:F19" si="1">D13*1000/E13</f>
        <v>3.5387958185588608E-3</v>
      </c>
      <c r="G13" s="66">
        <f t="shared" ref="G13:G19" si="2">H13/F13</f>
        <v>0</v>
      </c>
      <c r="H13" s="83">
        <f>Лист4!H13</f>
        <v>0</v>
      </c>
      <c r="I13" s="70"/>
    </row>
    <row r="14" spans="1:11" ht="25.5" outlineLevel="1" x14ac:dyDescent="0.25">
      <c r="A14" s="14">
        <f>Лист4!A14</f>
        <v>225</v>
      </c>
      <c r="B14" s="67" t="str">
        <f>Лист4!B14</f>
        <v>Содержание и ТО общего имущества (септик РВЛ, промывка, опресовка Сортавала и Питкяранта)</v>
      </c>
      <c r="C14" s="14" t="s">
        <v>132</v>
      </c>
      <c r="D14" s="15">
        <v>1</v>
      </c>
      <c r="E14" s="81">
        <f t="shared" si="0"/>
        <v>282582</v>
      </c>
      <c r="F14" s="85">
        <f t="shared" si="1"/>
        <v>3.5387958185588608E-3</v>
      </c>
      <c r="G14" s="66">
        <f>H14/F14</f>
        <v>0</v>
      </c>
      <c r="H14" s="83">
        <f>Лист4!H14</f>
        <v>0</v>
      </c>
      <c r="I14" s="70"/>
    </row>
    <row r="15" spans="1:11" outlineLevel="1" x14ac:dyDescent="0.25">
      <c r="A15" s="14">
        <f>Лист4!A15</f>
        <v>225</v>
      </c>
      <c r="B15" s="67" t="s">
        <v>78</v>
      </c>
      <c r="C15" s="14" t="s">
        <v>132</v>
      </c>
      <c r="D15" s="15">
        <v>1</v>
      </c>
      <c r="E15" s="81">
        <f t="shared" si="0"/>
        <v>282582</v>
      </c>
      <c r="F15" s="85">
        <f t="shared" si="1"/>
        <v>3.5387958185588608E-3</v>
      </c>
      <c r="G15" s="66">
        <f t="shared" si="2"/>
        <v>0</v>
      </c>
      <c r="H15" s="83">
        <f>Лист4!H15</f>
        <v>0</v>
      </c>
      <c r="I15" s="70"/>
    </row>
    <row r="16" spans="1:11" outlineLevel="1" x14ac:dyDescent="0.25">
      <c r="A16" s="14">
        <f>Лист4!A16</f>
        <v>225</v>
      </c>
      <c r="B16" s="67" t="s">
        <v>79</v>
      </c>
      <c r="C16" s="14" t="s">
        <v>132</v>
      </c>
      <c r="D16" s="19">
        <v>1</v>
      </c>
      <c r="E16" s="81">
        <f t="shared" si="0"/>
        <v>282582</v>
      </c>
      <c r="F16" s="85">
        <f t="shared" si="1"/>
        <v>3.5387958185588608E-3</v>
      </c>
      <c r="G16" s="66">
        <f t="shared" si="2"/>
        <v>0</v>
      </c>
      <c r="H16" s="83">
        <f>Лист4!H16</f>
        <v>0</v>
      </c>
      <c r="I16" s="70"/>
    </row>
    <row r="17" spans="1:11" outlineLevel="1" x14ac:dyDescent="0.25">
      <c r="A17" s="14" t="str">
        <f>Лист4!A17</f>
        <v>211, 213</v>
      </c>
      <c r="B17" s="67" t="s">
        <v>131</v>
      </c>
      <c r="C17" s="14" t="s">
        <v>132</v>
      </c>
      <c r="D17" s="19">
        <v>1</v>
      </c>
      <c r="E17" s="81">
        <f t="shared" si="0"/>
        <v>282582</v>
      </c>
      <c r="F17" s="85">
        <f t="shared" si="1"/>
        <v>3.5387958185588608E-3</v>
      </c>
      <c r="G17" s="66">
        <f t="shared" si="2"/>
        <v>0</v>
      </c>
      <c r="H17" s="83">
        <f>Лист4!H17</f>
        <v>0</v>
      </c>
      <c r="I17" s="70"/>
    </row>
    <row r="18" spans="1:11" outlineLevel="1" x14ac:dyDescent="0.25">
      <c r="A18" s="14">
        <f>Лист4!A18</f>
        <v>226</v>
      </c>
      <c r="B18" s="67" t="s">
        <v>81</v>
      </c>
      <c r="C18" s="14" t="s">
        <v>132</v>
      </c>
      <c r="D18" s="15">
        <v>1</v>
      </c>
      <c r="E18" s="81">
        <f t="shared" si="0"/>
        <v>282582</v>
      </c>
      <c r="F18" s="85">
        <f t="shared" si="1"/>
        <v>3.5387958185588608E-3</v>
      </c>
      <c r="G18" s="66">
        <f t="shared" si="2"/>
        <v>0</v>
      </c>
      <c r="H18" s="83">
        <f>Лист4!H18</f>
        <v>0</v>
      </c>
      <c r="I18" s="70"/>
    </row>
    <row r="19" spans="1:11" outlineLevel="1" x14ac:dyDescent="0.25">
      <c r="A19" s="14">
        <f>Лист4!A19</f>
        <v>346</v>
      </c>
      <c r="B19" s="67" t="s">
        <v>137</v>
      </c>
      <c r="C19" s="14" t="s">
        <v>132</v>
      </c>
      <c r="D19" s="15">
        <v>1</v>
      </c>
      <c r="E19" s="81">
        <f t="shared" si="0"/>
        <v>282582</v>
      </c>
      <c r="F19" s="85">
        <f t="shared" si="1"/>
        <v>3.5387958185588608E-3</v>
      </c>
      <c r="G19" s="66">
        <f t="shared" si="2"/>
        <v>0</v>
      </c>
      <c r="H19" s="83">
        <f>Лист4!H19</f>
        <v>0</v>
      </c>
      <c r="I19" s="70"/>
    </row>
    <row r="20" spans="1:11" ht="13.5" x14ac:dyDescent="0.25">
      <c r="A20" s="1006" t="s">
        <v>74</v>
      </c>
      <c r="B20" s="1007"/>
      <c r="C20" s="1007"/>
      <c r="D20" s="1007"/>
      <c r="E20" s="1007"/>
      <c r="F20" s="1007"/>
      <c r="G20" s="1007"/>
      <c r="H20" s="84">
        <f>SUM(H13:H19)</f>
        <v>0</v>
      </c>
      <c r="I20" s="70"/>
      <c r="J20" s="69">
        <f>Лист4!H20</f>
        <v>0</v>
      </c>
      <c r="K20" s="69">
        <f>J20-H20</f>
        <v>0</v>
      </c>
    </row>
    <row r="21" spans="1:11" ht="13.5" x14ac:dyDescent="0.25">
      <c r="A21" s="1002" t="s">
        <v>82</v>
      </c>
      <c r="B21" s="1003"/>
      <c r="C21" s="1003"/>
      <c r="D21" s="1003"/>
      <c r="E21" s="1003"/>
      <c r="F21" s="1003"/>
      <c r="G21" s="1003"/>
      <c r="H21" s="1003"/>
      <c r="I21" s="1004"/>
    </row>
    <row r="22" spans="1:11" ht="15" outlineLevel="1" x14ac:dyDescent="0.25">
      <c r="A22" s="14">
        <f>Лист4!A22</f>
        <v>226</v>
      </c>
      <c r="B22" s="71" t="str">
        <f>Лист4!B22</f>
        <v>Предрейсовый осмотр а/м и водителей</v>
      </c>
      <c r="C22" s="14" t="s">
        <v>132</v>
      </c>
      <c r="D22" s="15">
        <v>1</v>
      </c>
      <c r="E22" s="81">
        <f t="shared" ref="E22:E29" si="3">$E$6</f>
        <v>282582</v>
      </c>
      <c r="F22" s="85">
        <f t="shared" ref="F22:F29" si="4">D22*1000/E22</f>
        <v>3.5387958185588608E-3</v>
      </c>
      <c r="G22" s="66">
        <f t="shared" ref="G22:G29" si="5">H22/F22</f>
        <v>0</v>
      </c>
      <c r="H22" s="83">
        <f>Лист4!H22</f>
        <v>0</v>
      </c>
      <c r="I22" s="70"/>
    </row>
    <row r="23" spans="1:11" ht="15" outlineLevel="1" x14ac:dyDescent="0.25">
      <c r="A23" s="14">
        <f>Лист4!A23</f>
        <v>225</v>
      </c>
      <c r="B23" s="71" t="s">
        <v>134</v>
      </c>
      <c r="C23" s="14" t="s">
        <v>132</v>
      </c>
      <c r="D23" s="15">
        <v>1</v>
      </c>
      <c r="E23" s="81">
        <f t="shared" si="3"/>
        <v>282582</v>
      </c>
      <c r="F23" s="85">
        <f t="shared" si="4"/>
        <v>3.5387958185588608E-3</v>
      </c>
      <c r="G23" s="66">
        <f t="shared" si="5"/>
        <v>0</v>
      </c>
      <c r="H23" s="83">
        <f>Лист4!H23</f>
        <v>0</v>
      </c>
      <c r="I23" s="70"/>
    </row>
    <row r="24" spans="1:11" ht="15" outlineLevel="1" x14ac:dyDescent="0.25">
      <c r="A24" s="14">
        <f>Лист4!A24</f>
        <v>225</v>
      </c>
      <c r="B24" s="71" t="s">
        <v>135</v>
      </c>
      <c r="C24" s="14" t="s">
        <v>132</v>
      </c>
      <c r="D24" s="15">
        <v>1</v>
      </c>
      <c r="E24" s="81">
        <f t="shared" si="3"/>
        <v>282582</v>
      </c>
      <c r="F24" s="85">
        <f t="shared" si="4"/>
        <v>3.5387958185588608E-3</v>
      </c>
      <c r="G24" s="66">
        <f t="shared" si="5"/>
        <v>0</v>
      </c>
      <c r="H24" s="83">
        <f>Лист4!H24</f>
        <v>0</v>
      </c>
      <c r="I24" s="70"/>
    </row>
    <row r="25" spans="1:11" outlineLevel="1" x14ac:dyDescent="0.25">
      <c r="A25" s="14">
        <f>Лист4!A25</f>
        <v>343</v>
      </c>
      <c r="B25" s="67" t="s">
        <v>83</v>
      </c>
      <c r="C25" s="14" t="s">
        <v>132</v>
      </c>
      <c r="D25" s="15">
        <v>1</v>
      </c>
      <c r="E25" s="81">
        <f t="shared" si="3"/>
        <v>282582</v>
      </c>
      <c r="F25" s="85">
        <f t="shared" si="4"/>
        <v>3.5387958185588608E-3</v>
      </c>
      <c r="G25" s="66">
        <f t="shared" si="5"/>
        <v>0</v>
      </c>
      <c r="H25" s="83">
        <f>Лист4!H25</f>
        <v>0</v>
      </c>
      <c r="I25" s="70"/>
    </row>
    <row r="26" spans="1:11" ht="15" outlineLevel="1" x14ac:dyDescent="0.25">
      <c r="A26" s="14">
        <f>Лист4!A26</f>
        <v>227</v>
      </c>
      <c r="B26" s="71" t="str">
        <f>Лист4!B26</f>
        <v>Страхование а/м (ОСАГО, КАСКО)</v>
      </c>
      <c r="C26" s="14" t="s">
        <v>132</v>
      </c>
      <c r="D26" s="15">
        <v>1</v>
      </c>
      <c r="E26" s="81">
        <f t="shared" si="3"/>
        <v>282582</v>
      </c>
      <c r="F26" s="85">
        <f t="shared" si="4"/>
        <v>3.5387958185588608E-3</v>
      </c>
      <c r="G26" s="66">
        <f t="shared" si="5"/>
        <v>0</v>
      </c>
      <c r="H26" s="83">
        <f>Лист4!H26</f>
        <v>0</v>
      </c>
      <c r="I26" s="70"/>
    </row>
    <row r="27" spans="1:11" ht="15" outlineLevel="1" x14ac:dyDescent="0.25">
      <c r="A27" s="14">
        <f>Лист4!A27</f>
        <v>226</v>
      </c>
      <c r="B27" s="71" t="s">
        <v>136</v>
      </c>
      <c r="C27" s="14" t="s">
        <v>132</v>
      </c>
      <c r="D27" s="15">
        <v>1</v>
      </c>
      <c r="E27" s="81">
        <f t="shared" si="3"/>
        <v>282582</v>
      </c>
      <c r="F27" s="85">
        <f t="shared" si="4"/>
        <v>3.5387958185588608E-3</v>
      </c>
      <c r="G27" s="66">
        <f>H27/F27</f>
        <v>0</v>
      </c>
      <c r="H27" s="83">
        <f>Лист4!H27</f>
        <v>0</v>
      </c>
      <c r="I27" s="70"/>
    </row>
    <row r="28" spans="1:11" outlineLevel="1" x14ac:dyDescent="0.25">
      <c r="A28" s="14">
        <f>Лист4!A28</f>
        <v>346</v>
      </c>
      <c r="B28" s="67" t="s">
        <v>86</v>
      </c>
      <c r="C28" s="14" t="s">
        <v>132</v>
      </c>
      <c r="D28" s="15">
        <v>1</v>
      </c>
      <c r="E28" s="81">
        <f t="shared" si="3"/>
        <v>282582</v>
      </c>
      <c r="F28" s="85">
        <f t="shared" si="4"/>
        <v>3.5387958185588608E-3</v>
      </c>
      <c r="G28" s="66">
        <f t="shared" si="5"/>
        <v>0</v>
      </c>
      <c r="H28" s="83">
        <f>Лист4!H28</f>
        <v>0</v>
      </c>
      <c r="I28" s="70"/>
    </row>
    <row r="29" spans="1:11" ht="45" outlineLevel="1" x14ac:dyDescent="0.25">
      <c r="A29" s="14">
        <f>Лист4!A29</f>
        <v>225</v>
      </c>
      <c r="B29" s="54" t="s">
        <v>87</v>
      </c>
      <c r="C29" s="14" t="s">
        <v>132</v>
      </c>
      <c r="D29" s="15">
        <v>1</v>
      </c>
      <c r="E29" s="81">
        <f t="shared" si="3"/>
        <v>282582</v>
      </c>
      <c r="F29" s="85">
        <f t="shared" si="4"/>
        <v>3.5387958185588608E-3</v>
      </c>
      <c r="G29" s="66">
        <f t="shared" si="5"/>
        <v>0</v>
      </c>
      <c r="H29" s="83">
        <f>Лист4!H29</f>
        <v>0</v>
      </c>
      <c r="I29" s="70"/>
    </row>
    <row r="30" spans="1:11" ht="13.5" x14ac:dyDescent="0.25">
      <c r="A30" s="1006" t="s">
        <v>74</v>
      </c>
      <c r="B30" s="1007"/>
      <c r="C30" s="1007"/>
      <c r="D30" s="1007"/>
      <c r="E30" s="1007"/>
      <c r="F30" s="1007"/>
      <c r="G30" s="1007"/>
      <c r="H30" s="84">
        <f>SUM(H22:H29)</f>
        <v>0</v>
      </c>
      <c r="I30" s="70"/>
      <c r="J30" s="69">
        <f>Лист4!H30</f>
        <v>0</v>
      </c>
      <c r="K30" s="69">
        <f>J30-H30</f>
        <v>0</v>
      </c>
    </row>
    <row r="31" spans="1:11" ht="13.5" x14ac:dyDescent="0.25">
      <c r="A31" s="1002" t="s">
        <v>88</v>
      </c>
      <c r="B31" s="1003"/>
      <c r="C31" s="1003"/>
      <c r="D31" s="1003"/>
      <c r="E31" s="1003"/>
      <c r="F31" s="1003"/>
      <c r="G31" s="1003"/>
      <c r="H31" s="1003"/>
      <c r="I31" s="1004"/>
    </row>
    <row r="32" spans="1:11" outlineLevel="1" x14ac:dyDescent="0.25">
      <c r="A32" s="14">
        <v>221</v>
      </c>
      <c r="B32" s="67" t="s">
        <v>89</v>
      </c>
      <c r="C32" s="14" t="s">
        <v>132</v>
      </c>
      <c r="D32" s="15">
        <v>1</v>
      </c>
      <c r="E32" s="81">
        <f>$E$6</f>
        <v>282582</v>
      </c>
      <c r="F32" s="85">
        <f>D32*1000/E32</f>
        <v>3.5387958185588608E-3</v>
      </c>
      <c r="G32" s="66">
        <f>H32/F32</f>
        <v>0</v>
      </c>
      <c r="H32" s="83">
        <f>Лист4!H32</f>
        <v>0</v>
      </c>
      <c r="I32" s="70"/>
    </row>
    <row r="33" spans="1:11" outlineLevel="1" x14ac:dyDescent="0.25">
      <c r="A33" s="14">
        <v>221</v>
      </c>
      <c r="B33" s="67" t="s">
        <v>90</v>
      </c>
      <c r="C33" s="14" t="s">
        <v>132</v>
      </c>
      <c r="D33" s="15">
        <v>1</v>
      </c>
      <c r="E33" s="81">
        <f>$E$6</f>
        <v>282582</v>
      </c>
      <c r="F33" s="85">
        <f>D33*1000/E33</f>
        <v>3.5387958185588608E-3</v>
      </c>
      <c r="G33" s="66">
        <f>H33/F33</f>
        <v>0</v>
      </c>
      <c r="H33" s="83">
        <f>Лист4!H33</f>
        <v>0</v>
      </c>
      <c r="I33" s="70"/>
    </row>
    <row r="34" spans="1:11" outlineLevel="1" x14ac:dyDescent="0.25">
      <c r="A34" s="14">
        <v>221</v>
      </c>
      <c r="B34" s="67" t="s">
        <v>91</v>
      </c>
      <c r="C34" s="14" t="s">
        <v>132</v>
      </c>
      <c r="D34" s="15">
        <v>1</v>
      </c>
      <c r="E34" s="81">
        <f>$E$6</f>
        <v>282582</v>
      </c>
      <c r="F34" s="85">
        <f>D34*1000/E34</f>
        <v>3.5387958185588608E-3</v>
      </c>
      <c r="G34" s="66">
        <f>H34/F34</f>
        <v>0</v>
      </c>
      <c r="H34" s="83">
        <f>Лист4!H34</f>
        <v>0</v>
      </c>
      <c r="I34" s="70"/>
    </row>
    <row r="35" spans="1:11" outlineLevel="1" x14ac:dyDescent="0.25">
      <c r="A35" s="87">
        <v>221</v>
      </c>
      <c r="B35" s="408" t="s">
        <v>680</v>
      </c>
      <c r="C35" s="14" t="s">
        <v>132</v>
      </c>
      <c r="D35" s="15">
        <v>1</v>
      </c>
      <c r="E35" s="81">
        <f>$E$6</f>
        <v>282582</v>
      </c>
      <c r="F35" s="85">
        <f>D35*1000/E35</f>
        <v>3.5387958185588608E-3</v>
      </c>
      <c r="G35" s="66">
        <f>H35/F35</f>
        <v>0</v>
      </c>
      <c r="H35" s="83">
        <f>Лист4!H35</f>
        <v>0</v>
      </c>
      <c r="I35" s="70"/>
    </row>
    <row r="36" spans="1:11" outlineLevel="1" x14ac:dyDescent="0.25">
      <c r="A36" s="87">
        <v>221</v>
      </c>
      <c r="B36" s="67" t="s">
        <v>138</v>
      </c>
      <c r="C36" s="14" t="s">
        <v>132</v>
      </c>
      <c r="D36" s="15">
        <v>1</v>
      </c>
      <c r="E36" s="81">
        <f>$E$6</f>
        <v>282582</v>
      </c>
      <c r="F36" s="85">
        <f>D36*1000/E36</f>
        <v>3.5387958185588608E-3</v>
      </c>
      <c r="G36" s="66">
        <f>H36/F36</f>
        <v>0</v>
      </c>
      <c r="H36" s="83">
        <f>Лист4!H36</f>
        <v>0</v>
      </c>
      <c r="I36" s="70"/>
    </row>
    <row r="37" spans="1:11" ht="13.5" x14ac:dyDescent="0.25">
      <c r="A37" s="1006" t="s">
        <v>74</v>
      </c>
      <c r="B37" s="1007"/>
      <c r="C37" s="1007"/>
      <c r="D37" s="1007"/>
      <c r="E37" s="1007"/>
      <c r="F37" s="1007"/>
      <c r="G37" s="1007"/>
      <c r="H37" s="84">
        <f>SUM(H32:H36)</f>
        <v>0</v>
      </c>
      <c r="I37" s="70"/>
      <c r="J37" s="69">
        <f>Лист4!H37</f>
        <v>0</v>
      </c>
      <c r="K37" s="69">
        <f>J37-H37</f>
        <v>0</v>
      </c>
    </row>
    <row r="38" spans="1:11" ht="13.5" x14ac:dyDescent="0.25">
      <c r="A38" s="1002" t="s">
        <v>92</v>
      </c>
      <c r="B38" s="1003"/>
      <c r="C38" s="1003"/>
      <c r="D38" s="1003"/>
      <c r="E38" s="1003"/>
      <c r="F38" s="1003"/>
      <c r="G38" s="1003"/>
      <c r="H38" s="1003"/>
      <c r="I38" s="1004"/>
    </row>
    <row r="39" spans="1:11" ht="25.5" outlineLevel="1" x14ac:dyDescent="0.25">
      <c r="A39" s="14">
        <v>222</v>
      </c>
      <c r="B39" s="67" t="str">
        <f>Лист4!B39</f>
        <v>Оплата разовых транспортных услуг (перевозка грузов, подвоз воды, такси - Кондопога)</v>
      </c>
      <c r="C39" s="14" t="s">
        <v>132</v>
      </c>
      <c r="D39" s="15">
        <v>1</v>
      </c>
      <c r="E39" s="88">
        <f>$E$6</f>
        <v>282582</v>
      </c>
      <c r="F39" s="85">
        <f>D39*1000/E39</f>
        <v>3.5387958185588608E-3</v>
      </c>
      <c r="G39" s="66">
        <f>H39/F39</f>
        <v>0</v>
      </c>
      <c r="H39" s="83">
        <f>Лист4!H39</f>
        <v>0</v>
      </c>
      <c r="I39" s="70"/>
    </row>
    <row r="40" spans="1:11" ht="25.5" outlineLevel="1" x14ac:dyDescent="0.25">
      <c r="A40" s="14">
        <v>222</v>
      </c>
      <c r="B40" s="67" t="s">
        <v>94</v>
      </c>
      <c r="C40" s="14" t="s">
        <v>132</v>
      </c>
      <c r="D40" s="19">
        <v>1</v>
      </c>
      <c r="E40" s="88">
        <f>$E$6</f>
        <v>282582</v>
      </c>
      <c r="F40" s="85">
        <f>D40*1000/E40</f>
        <v>3.5387958185588608E-3</v>
      </c>
      <c r="G40" s="66">
        <f>H40/F40</f>
        <v>0</v>
      </c>
      <c r="H40" s="83">
        <f>Лист4!H40</f>
        <v>0</v>
      </c>
      <c r="I40" s="70"/>
    </row>
    <row r="41" spans="1:11" ht="13.5" x14ac:dyDescent="0.25">
      <c r="A41" s="1006" t="s">
        <v>74</v>
      </c>
      <c r="B41" s="1007"/>
      <c r="C41" s="1007"/>
      <c r="D41" s="1007"/>
      <c r="E41" s="1007"/>
      <c r="F41" s="1007"/>
      <c r="G41" s="1007"/>
      <c r="H41" s="84">
        <f>SUM(H39:H40)</f>
        <v>0</v>
      </c>
      <c r="I41" s="70"/>
      <c r="J41" s="69">
        <f>Лист4!H41</f>
        <v>0</v>
      </c>
      <c r="K41" s="69">
        <f>J41-H41</f>
        <v>0</v>
      </c>
    </row>
    <row r="42" spans="1:11" ht="13.5" x14ac:dyDescent="0.25">
      <c r="A42" s="1008" t="s">
        <v>95</v>
      </c>
      <c r="B42" s="1009"/>
      <c r="C42" s="1009"/>
      <c r="D42" s="1009"/>
      <c r="E42" s="1009"/>
      <c r="F42" s="1009"/>
      <c r="G42" s="1009"/>
      <c r="H42" s="1009"/>
      <c r="I42" s="1010"/>
    </row>
    <row r="43" spans="1:11" outlineLevel="1" x14ac:dyDescent="0.25">
      <c r="A43" s="14" t="str">
        <f>Лист4!A43</f>
        <v>211, 213</v>
      </c>
      <c r="B43" s="67" t="str">
        <f>Лист4!B43</f>
        <v>Администрация</v>
      </c>
      <c r="C43" s="14" t="s">
        <v>132</v>
      </c>
      <c r="D43" s="16">
        <v>1</v>
      </c>
      <c r="E43" s="81">
        <f>$E$6</f>
        <v>282582</v>
      </c>
      <c r="F43" s="85">
        <f>D43*1000/E43</f>
        <v>3.5387958185588608E-3</v>
      </c>
      <c r="G43" s="66">
        <f>H43/F43</f>
        <v>0</v>
      </c>
      <c r="H43" s="83">
        <f>Лист4!H43</f>
        <v>0</v>
      </c>
      <c r="I43" s="78"/>
    </row>
    <row r="44" spans="1:11" ht="25.5" outlineLevel="1" x14ac:dyDescent="0.25">
      <c r="A44" s="14" t="str">
        <f>Лист4!A44</f>
        <v>211, 213</v>
      </c>
      <c r="B44" s="67" t="str">
        <f>Лист4!B44</f>
        <v>Планово-финансовый отдел; отдел правовой и кадровой работы</v>
      </c>
      <c r="C44" s="14" t="s">
        <v>132</v>
      </c>
      <c r="D44" s="17">
        <v>1</v>
      </c>
      <c r="E44" s="81">
        <f>$E$6</f>
        <v>282582</v>
      </c>
      <c r="F44" s="85">
        <f>D44*1000/E44</f>
        <v>3.5387958185588608E-3</v>
      </c>
      <c r="G44" s="66">
        <f>H44/F44</f>
        <v>0</v>
      </c>
      <c r="H44" s="83">
        <f>Лист4!H44</f>
        <v>0</v>
      </c>
      <c r="I44" s="78"/>
    </row>
    <row r="45" spans="1:11" outlineLevel="1" x14ac:dyDescent="0.25">
      <c r="A45" s="14" t="str">
        <f>Лист4!A45</f>
        <v>211, 213</v>
      </c>
      <c r="B45" s="67" t="str">
        <f>Лист4!B45</f>
        <v>Основной персонал</v>
      </c>
      <c r="C45" s="14" t="s">
        <v>132</v>
      </c>
      <c r="D45" s="17">
        <v>1</v>
      </c>
      <c r="E45" s="81">
        <f>$E$6</f>
        <v>282582</v>
      </c>
      <c r="F45" s="85">
        <f>D45*1000/E45</f>
        <v>3.5387958185588608E-3</v>
      </c>
      <c r="G45" s="66">
        <f>H45/F45</f>
        <v>0</v>
      </c>
      <c r="H45" s="83">
        <f>Лист4!H45</f>
        <v>0</v>
      </c>
      <c r="I45" s="78"/>
    </row>
    <row r="46" spans="1:11" ht="25.5" outlineLevel="1" x14ac:dyDescent="0.25">
      <c r="A46" s="14" t="str">
        <f>Лист4!A46</f>
        <v>211, 213</v>
      </c>
      <c r="B46" s="67" t="str">
        <f>Лист4!B46</f>
        <v>Отдел транспортного обеспечения, административно-хозяйственный отдел</v>
      </c>
      <c r="C46" s="14" t="s">
        <v>132</v>
      </c>
      <c r="D46" s="17">
        <v>1</v>
      </c>
      <c r="E46" s="81">
        <f>$E$6</f>
        <v>282582</v>
      </c>
      <c r="F46" s="85">
        <f>D46*1000/E46</f>
        <v>3.5387958185588608E-3</v>
      </c>
      <c r="G46" s="66">
        <f>H46/F46</f>
        <v>0</v>
      </c>
      <c r="H46" s="83">
        <f>Лист4!H46</f>
        <v>0</v>
      </c>
      <c r="I46" s="78"/>
    </row>
    <row r="47" spans="1:11" ht="13.5" x14ac:dyDescent="0.25">
      <c r="A47" s="1006" t="s">
        <v>74</v>
      </c>
      <c r="B47" s="1007"/>
      <c r="C47" s="1007"/>
      <c r="D47" s="1007"/>
      <c r="E47" s="1007"/>
      <c r="F47" s="1007"/>
      <c r="G47" s="1007"/>
      <c r="H47" s="92">
        <f>SUM(H43:H46)</f>
        <v>0</v>
      </c>
      <c r="I47" s="78"/>
      <c r="J47" s="69">
        <f>Лист4!H47</f>
        <v>0</v>
      </c>
      <c r="K47" s="69">
        <f>J47-H47</f>
        <v>0</v>
      </c>
    </row>
    <row r="48" spans="1:11" ht="13.5" x14ac:dyDescent="0.25">
      <c r="A48" s="1002" t="s">
        <v>96</v>
      </c>
      <c r="B48" s="1003"/>
      <c r="C48" s="1003"/>
      <c r="D48" s="1003"/>
      <c r="E48" s="1003"/>
      <c r="F48" s="1003"/>
      <c r="G48" s="1003"/>
      <c r="H48" s="1003"/>
      <c r="I48" s="1004"/>
    </row>
    <row r="49" spans="1:9" outlineLevel="1" x14ac:dyDescent="0.25">
      <c r="A49" s="407">
        <f>'Свод расчетный'!A50</f>
        <v>224</v>
      </c>
      <c r="B49" s="411" t="str">
        <f>'Свод расчетный'!B50</f>
        <v>Аренда помещений</v>
      </c>
      <c r="C49" s="14" t="s">
        <v>132</v>
      </c>
      <c r="D49" s="444">
        <v>1</v>
      </c>
      <c r="E49" s="81">
        <f t="shared" ref="E49:E78" si="6">$E$6</f>
        <v>282582</v>
      </c>
      <c r="F49" s="85">
        <f t="shared" ref="F49:F68" si="7">D49*1000/E49</f>
        <v>3.5387958185588608E-3</v>
      </c>
      <c r="G49" s="66">
        <f t="shared" ref="G49:G67" si="8">H49/F49</f>
        <v>0</v>
      </c>
      <c r="H49" s="83">
        <f>Лист4!H49</f>
        <v>0</v>
      </c>
      <c r="I49" s="78"/>
    </row>
    <row r="50" spans="1:9" outlineLevel="1" x14ac:dyDescent="0.25">
      <c r="A50" s="407">
        <f>'Свод расчетный'!A51</f>
        <v>225</v>
      </c>
      <c r="B50" s="411" t="str">
        <f>'Свод расчетный'!B51</f>
        <v>Ремонт офисной техники</v>
      </c>
      <c r="C50" s="14" t="s">
        <v>132</v>
      </c>
      <c r="D50" s="444">
        <v>1</v>
      </c>
      <c r="E50" s="81">
        <f t="shared" si="6"/>
        <v>282582</v>
      </c>
      <c r="F50" s="85">
        <f t="shared" si="7"/>
        <v>3.5387958185588608E-3</v>
      </c>
      <c r="G50" s="66">
        <f t="shared" si="8"/>
        <v>78.720000000000013</v>
      </c>
      <c r="H50" s="83">
        <f>Лист4!H50</f>
        <v>0.27857400683695355</v>
      </c>
      <c r="I50" s="78"/>
    </row>
    <row r="51" spans="1:9" outlineLevel="1" x14ac:dyDescent="0.25">
      <c r="A51" s="407">
        <f>'Свод расчетный'!A52</f>
        <v>226</v>
      </c>
      <c r="B51" s="411" t="str">
        <f>'Свод расчетный'!B52</f>
        <v>Обслуживание комьютерной техники</v>
      </c>
      <c r="C51" s="14" t="s">
        <v>132</v>
      </c>
      <c r="D51" s="444">
        <v>1</v>
      </c>
      <c r="E51" s="81">
        <f t="shared" si="6"/>
        <v>282582</v>
      </c>
      <c r="F51" s="85">
        <f t="shared" si="7"/>
        <v>3.5387958185588608E-3</v>
      </c>
      <c r="G51" s="66">
        <f t="shared" si="8"/>
        <v>0</v>
      </c>
      <c r="H51" s="83">
        <f>Лист4!H51</f>
        <v>0</v>
      </c>
      <c r="I51" s="78"/>
    </row>
    <row r="52" spans="1:9" outlineLevel="1" x14ac:dyDescent="0.25">
      <c r="A52" s="407">
        <f>'Свод расчетный'!A53</f>
        <v>226</v>
      </c>
      <c r="B52" s="411" t="str">
        <f>'Свод расчетный'!B53</f>
        <v>Обслуживание баз данных, сайта</v>
      </c>
      <c r="C52" s="14" t="s">
        <v>132</v>
      </c>
      <c r="D52" s="444">
        <v>1</v>
      </c>
      <c r="E52" s="81">
        <f t="shared" si="6"/>
        <v>282582</v>
      </c>
      <c r="F52" s="85">
        <f t="shared" si="7"/>
        <v>3.5387958185588608E-3</v>
      </c>
      <c r="G52" s="66">
        <f t="shared" si="8"/>
        <v>0</v>
      </c>
      <c r="H52" s="83">
        <f>Лист4!H52</f>
        <v>0</v>
      </c>
      <c r="I52" s="78"/>
    </row>
    <row r="53" spans="1:9" outlineLevel="1" x14ac:dyDescent="0.25">
      <c r="A53" s="407" t="str">
        <f>'Свод расчетный'!A54</f>
        <v>225, 226</v>
      </c>
      <c r="B53" s="411" t="str">
        <f>'Свод расчетный'!B54</f>
        <v>Обслуживание, ремонт  кассовых аппаратов; Такском</v>
      </c>
      <c r="C53" s="14" t="s">
        <v>132</v>
      </c>
      <c r="D53" s="444">
        <v>1</v>
      </c>
      <c r="E53" s="81">
        <f t="shared" si="6"/>
        <v>282582</v>
      </c>
      <c r="F53" s="85">
        <f t="shared" si="7"/>
        <v>3.5387958185588608E-3</v>
      </c>
      <c r="G53" s="66">
        <f>H53/F53</f>
        <v>0</v>
      </c>
      <c r="H53" s="83">
        <f>Лист4!H53</f>
        <v>0</v>
      </c>
      <c r="I53" s="78"/>
    </row>
    <row r="54" spans="1:9" outlineLevel="1" x14ac:dyDescent="0.25">
      <c r="A54" s="407">
        <f>'Свод расчетный'!A55</f>
        <v>226</v>
      </c>
      <c r="B54" s="411" t="str">
        <f>'Свод расчетный'!B55</f>
        <v>Доступ к системе AnimalFace</v>
      </c>
      <c r="C54" s="14" t="s">
        <v>132</v>
      </c>
      <c r="D54" s="444">
        <v>1</v>
      </c>
      <c r="E54" s="81">
        <f t="shared" si="6"/>
        <v>282582</v>
      </c>
      <c r="F54" s="85">
        <f t="shared" si="7"/>
        <v>3.5387958185588608E-3</v>
      </c>
      <c r="G54" s="66">
        <f t="shared" si="8"/>
        <v>0</v>
      </c>
      <c r="H54" s="83">
        <f>Лист4!H54</f>
        <v>0</v>
      </c>
      <c r="I54" s="78"/>
    </row>
    <row r="55" spans="1:9" outlineLevel="1" x14ac:dyDescent="0.25">
      <c r="A55" s="407">
        <f>'Свод расчетный'!A56</f>
        <v>227</v>
      </c>
      <c r="B55" s="411" t="str">
        <f>'Свод расчетный'!B56</f>
        <v>Страхование имущества, оборудования</v>
      </c>
      <c r="C55" s="14" t="s">
        <v>132</v>
      </c>
      <c r="D55" s="444">
        <v>1</v>
      </c>
      <c r="E55" s="81">
        <f t="shared" si="6"/>
        <v>282582</v>
      </c>
      <c r="F55" s="85">
        <f t="shared" si="7"/>
        <v>3.5387958185588608E-3</v>
      </c>
      <c r="G55" s="66">
        <f t="shared" si="8"/>
        <v>0</v>
      </c>
      <c r="H55" s="83">
        <f>Лист4!H55</f>
        <v>0</v>
      </c>
      <c r="I55" s="70"/>
    </row>
    <row r="56" spans="1:9" outlineLevel="1" x14ac:dyDescent="0.25">
      <c r="A56" s="407">
        <f>'Свод расчетный'!A57</f>
        <v>227</v>
      </c>
      <c r="B56" s="411" t="str">
        <f>'Свод расчетный'!B57</f>
        <v>Страхование работников (клещ)</v>
      </c>
      <c r="C56" s="14" t="s">
        <v>132</v>
      </c>
      <c r="D56" s="444">
        <v>1</v>
      </c>
      <c r="E56" s="81">
        <f t="shared" si="6"/>
        <v>282582</v>
      </c>
      <c r="F56" s="85">
        <f t="shared" si="7"/>
        <v>3.5387958185588608E-3</v>
      </c>
      <c r="G56" s="66">
        <f t="shared" si="8"/>
        <v>0</v>
      </c>
      <c r="H56" s="83">
        <f>Лист4!H56</f>
        <v>0</v>
      </c>
      <c r="I56" s="70"/>
    </row>
    <row r="57" spans="1:9" outlineLevel="1" x14ac:dyDescent="0.25">
      <c r="A57" s="407">
        <f>'Свод расчетный'!A58</f>
        <v>226</v>
      </c>
      <c r="B57" s="411" t="str">
        <f>'Свод расчетный'!B58</f>
        <v>Курсы повышения квалификации</v>
      </c>
      <c r="C57" s="14" t="s">
        <v>132</v>
      </c>
      <c r="D57" s="444">
        <v>1</v>
      </c>
      <c r="E57" s="81">
        <f t="shared" si="6"/>
        <v>282582</v>
      </c>
      <c r="F57" s="85">
        <f t="shared" si="7"/>
        <v>3.5387958185588608E-3</v>
      </c>
      <c r="G57" s="66">
        <f t="shared" si="8"/>
        <v>0</v>
      </c>
      <c r="H57" s="83">
        <f>Лист4!H57</f>
        <v>0</v>
      </c>
      <c r="I57" s="78"/>
    </row>
    <row r="58" spans="1:9" outlineLevel="1" x14ac:dyDescent="0.25">
      <c r="A58" s="407">
        <f>'Свод расчетный'!A59</f>
        <v>226</v>
      </c>
      <c r="B58" s="411" t="str">
        <f>'Свод расчетный'!B59</f>
        <v>Медицинские периодические осмотры</v>
      </c>
      <c r="C58" s="14" t="s">
        <v>132</v>
      </c>
      <c r="D58" s="444">
        <v>1</v>
      </c>
      <c r="E58" s="81">
        <f t="shared" si="6"/>
        <v>282582</v>
      </c>
      <c r="F58" s="85">
        <f t="shared" si="7"/>
        <v>3.5387958185588608E-3</v>
      </c>
      <c r="G58" s="66">
        <f t="shared" si="8"/>
        <v>0</v>
      </c>
      <c r="H58" s="83">
        <f>Лист4!H58</f>
        <v>0</v>
      </c>
      <c r="I58" s="78"/>
    </row>
    <row r="59" spans="1:9" outlineLevel="1" x14ac:dyDescent="0.25">
      <c r="A59" s="407">
        <f>'Свод расчетный'!A60</f>
        <v>226</v>
      </c>
      <c r="B59" s="411" t="str">
        <f>'Свод расчетный'!B60</f>
        <v>Проверка лок.смет, изготовление энергетич.паспортов</v>
      </c>
      <c r="C59" s="14" t="s">
        <v>132</v>
      </c>
      <c r="D59" s="444">
        <v>1</v>
      </c>
      <c r="E59" s="81">
        <f t="shared" si="6"/>
        <v>282582</v>
      </c>
      <c r="F59" s="85">
        <f t="shared" si="7"/>
        <v>3.5387958185588608E-3</v>
      </c>
      <c r="G59" s="66">
        <f t="shared" si="8"/>
        <v>0</v>
      </c>
      <c r="H59" s="83">
        <f>Лист4!H59</f>
        <v>0</v>
      </c>
      <c r="I59" s="420"/>
    </row>
    <row r="60" spans="1:9" outlineLevel="1" x14ac:dyDescent="0.25">
      <c r="A60" s="407">
        <f>'Свод расчетный'!A61</f>
        <v>226</v>
      </c>
      <c r="B60" s="411" t="str">
        <f>'Свод расчетный'!B61</f>
        <v>Реклама на ТВ</v>
      </c>
      <c r="C60" s="14" t="s">
        <v>132</v>
      </c>
      <c r="D60" s="444">
        <v>1</v>
      </c>
      <c r="E60" s="81">
        <f t="shared" si="6"/>
        <v>282582</v>
      </c>
      <c r="F60" s="85">
        <f t="shared" si="7"/>
        <v>3.5387958185588608E-3</v>
      </c>
      <c r="G60" s="66">
        <f t="shared" si="8"/>
        <v>0</v>
      </c>
      <c r="H60" s="83">
        <f>Лист4!H60</f>
        <v>0</v>
      </c>
      <c r="I60" s="420"/>
    </row>
    <row r="61" spans="1:9" outlineLevel="1" x14ac:dyDescent="0.25">
      <c r="A61" s="407">
        <f>'Свод расчетный'!A62</f>
        <v>226</v>
      </c>
      <c r="B61" s="411" t="str">
        <f>'Свод расчетный'!B62</f>
        <v>Оплата за атостоянку</v>
      </c>
      <c r="C61" s="14" t="s">
        <v>132</v>
      </c>
      <c r="D61" s="444">
        <v>1</v>
      </c>
      <c r="E61" s="81">
        <f t="shared" si="6"/>
        <v>282582</v>
      </c>
      <c r="F61" s="85">
        <f t="shared" si="7"/>
        <v>3.5387958185588608E-3</v>
      </c>
      <c r="G61" s="66">
        <f t="shared" si="8"/>
        <v>0</v>
      </c>
      <c r="H61" s="83">
        <f>Лист4!H61</f>
        <v>0</v>
      </c>
      <c r="I61" s="420"/>
    </row>
    <row r="62" spans="1:9" outlineLevel="1" x14ac:dyDescent="0.25">
      <c r="A62" s="407">
        <f>'Свод расчетный'!A63</f>
        <v>226</v>
      </c>
      <c r="B62" s="411" t="str">
        <f>'Свод расчетный'!B63</f>
        <v>Лабораторные исследования</v>
      </c>
      <c r="C62" s="14" t="s">
        <v>132</v>
      </c>
      <c r="D62" s="444">
        <v>1</v>
      </c>
      <c r="E62" s="81">
        <f t="shared" si="6"/>
        <v>282582</v>
      </c>
      <c r="F62" s="85">
        <f t="shared" si="7"/>
        <v>3.5387958185588608E-3</v>
      </c>
      <c r="G62" s="66">
        <f t="shared" si="8"/>
        <v>0</v>
      </c>
      <c r="H62" s="83">
        <f>Лист4!H62</f>
        <v>0</v>
      </c>
      <c r="I62" s="420"/>
    </row>
    <row r="63" spans="1:9" outlineLevel="1" x14ac:dyDescent="0.25">
      <c r="A63" s="407">
        <f>'Свод расчетный'!A64</f>
        <v>226</v>
      </c>
      <c r="B63" s="411" t="str">
        <f>'Свод расчетный'!B64</f>
        <v>Пользованеие конструктивными элементами здания</v>
      </c>
      <c r="C63" s="14" t="s">
        <v>132</v>
      </c>
      <c r="D63" s="444">
        <v>1</v>
      </c>
      <c r="E63" s="81">
        <f t="shared" si="6"/>
        <v>282582</v>
      </c>
      <c r="F63" s="85">
        <f t="shared" si="7"/>
        <v>3.5387958185588608E-3</v>
      </c>
      <c r="G63" s="66">
        <f t="shared" si="8"/>
        <v>0</v>
      </c>
      <c r="H63" s="83">
        <f>Лист4!H63</f>
        <v>0</v>
      </c>
      <c r="I63" s="420"/>
    </row>
    <row r="64" spans="1:9" outlineLevel="1" x14ac:dyDescent="0.25">
      <c r="A64" s="407">
        <f>'Свод расчетный'!A65</f>
        <v>226</v>
      </c>
      <c r="B64" s="411" t="str">
        <f>'Свод расчетный'!B65</f>
        <v>Услуги банка</v>
      </c>
      <c r="C64" s="14" t="s">
        <v>132</v>
      </c>
      <c r="D64" s="444">
        <v>1</v>
      </c>
      <c r="E64" s="81">
        <f t="shared" si="6"/>
        <v>282582</v>
      </c>
      <c r="F64" s="85">
        <f t="shared" si="7"/>
        <v>3.5387958185588608E-3</v>
      </c>
      <c r="G64" s="66">
        <f t="shared" si="8"/>
        <v>65.599999999999994</v>
      </c>
      <c r="H64" s="83">
        <f>Лист4!H64</f>
        <v>0.23214500569746127</v>
      </c>
      <c r="I64" s="420"/>
    </row>
    <row r="65" spans="1:9" outlineLevel="1" x14ac:dyDescent="0.25">
      <c r="A65" s="407" t="str">
        <f>'Свод расчетный'!A66</f>
        <v>290, 291</v>
      </c>
      <c r="B65" s="411" t="str">
        <f>'Свод расчетный'!B66</f>
        <v>Прочие налоги и сборы</v>
      </c>
      <c r="C65" s="14" t="s">
        <v>132</v>
      </c>
      <c r="D65" s="444">
        <v>1</v>
      </c>
      <c r="E65" s="81">
        <f t="shared" si="6"/>
        <v>282582</v>
      </c>
      <c r="F65" s="85">
        <f t="shared" si="7"/>
        <v>3.5387958185588608E-3</v>
      </c>
      <c r="G65" s="66">
        <f t="shared" si="8"/>
        <v>90.445015999999995</v>
      </c>
      <c r="H65" s="83">
        <f>Лист4!H65</f>
        <v>0.32006644443028925</v>
      </c>
      <c r="I65" s="420"/>
    </row>
    <row r="66" spans="1:9" outlineLevel="1" x14ac:dyDescent="0.25">
      <c r="A66" s="407">
        <f>'Свод расчетный'!A67</f>
        <v>291</v>
      </c>
      <c r="B66" s="411" t="str">
        <f>'Свод расчетный'!B67</f>
        <v>Транспортный и земельный налоги</v>
      </c>
      <c r="C66" s="14" t="s">
        <v>132</v>
      </c>
      <c r="D66" s="444">
        <v>1</v>
      </c>
      <c r="E66" s="81">
        <f t="shared" si="6"/>
        <v>282582</v>
      </c>
      <c r="F66" s="85">
        <f t="shared" si="7"/>
        <v>3.5387958185588608E-3</v>
      </c>
      <c r="G66" s="66">
        <f t="shared" si="8"/>
        <v>0</v>
      </c>
      <c r="H66" s="83">
        <f>Лист4!H66</f>
        <v>0</v>
      </c>
      <c r="I66" s="420"/>
    </row>
    <row r="67" spans="1:9" outlineLevel="1" x14ac:dyDescent="0.25">
      <c r="A67" s="407">
        <f>'Свод расчетный'!A68</f>
        <v>310</v>
      </c>
      <c r="B67" s="411" t="str">
        <f>'Свод расчетный'!B68</f>
        <v>Затраты на приобретение основных средств</v>
      </c>
      <c r="C67" s="14" t="s">
        <v>132</v>
      </c>
      <c r="D67" s="444">
        <v>1</v>
      </c>
      <c r="E67" s="81">
        <f t="shared" si="6"/>
        <v>282582</v>
      </c>
      <c r="F67" s="85">
        <f t="shared" si="7"/>
        <v>3.5387958185588608E-3</v>
      </c>
      <c r="G67" s="66">
        <f t="shared" si="8"/>
        <v>0</v>
      </c>
      <c r="H67" s="83">
        <f>Лист4!H67</f>
        <v>0</v>
      </c>
      <c r="I67" s="420"/>
    </row>
    <row r="68" spans="1:9" outlineLevel="1" x14ac:dyDescent="0.25">
      <c r="A68" s="407">
        <f>'Свод расчетный'!A71</f>
        <v>346</v>
      </c>
      <c r="B68" s="411" t="str">
        <f>'Свод расчетный'!B71</f>
        <v>Приобретение катриджей, зап.части ЭВМ</v>
      </c>
      <c r="C68" s="14" t="s">
        <v>132</v>
      </c>
      <c r="D68" s="444">
        <v>1</v>
      </c>
      <c r="E68" s="81">
        <f t="shared" si="6"/>
        <v>282582</v>
      </c>
      <c r="F68" s="85">
        <f t="shared" si="7"/>
        <v>3.5387958185588608E-3</v>
      </c>
      <c r="G68" s="66">
        <f>H68/F68</f>
        <v>0</v>
      </c>
      <c r="H68" s="83">
        <f>Лист4!H68</f>
        <v>0</v>
      </c>
      <c r="I68" s="420"/>
    </row>
    <row r="69" spans="1:9" outlineLevel="1" x14ac:dyDescent="0.25">
      <c r="A69" s="407">
        <f>'Свод расчетный'!A72</f>
        <v>225</v>
      </c>
      <c r="B69" s="411" t="str">
        <f>'Свод расчетный'!B72</f>
        <v>Стирка белья</v>
      </c>
      <c r="C69" s="14" t="s">
        <v>132</v>
      </c>
      <c r="D69" s="444">
        <v>1</v>
      </c>
      <c r="E69" s="81">
        <f t="shared" si="6"/>
        <v>282582</v>
      </c>
      <c r="F69" s="85">
        <f t="shared" ref="F69:F79" si="9">D69*1000/E69</f>
        <v>3.5387958185588608E-3</v>
      </c>
      <c r="G69" s="66">
        <f t="shared" ref="G69:G79" si="10">H69/F69</f>
        <v>0</v>
      </c>
      <c r="H69" s="83">
        <f>Лист4!H69</f>
        <v>0</v>
      </c>
      <c r="I69" s="487"/>
    </row>
    <row r="70" spans="1:9" ht="25.5" outlineLevel="1" x14ac:dyDescent="0.25">
      <c r="A70" s="407">
        <f>'Свод расчетный'!A73</f>
        <v>225</v>
      </c>
      <c r="B70" s="411" t="str">
        <f>'Свод расчетный'!B73</f>
        <v>Поверка, калибровка, сличительные испытания оборудования</v>
      </c>
      <c r="C70" s="14" t="s">
        <v>132</v>
      </c>
      <c r="D70" s="444">
        <v>1</v>
      </c>
      <c r="E70" s="81">
        <f t="shared" si="6"/>
        <v>282582</v>
      </c>
      <c r="F70" s="85">
        <f t="shared" si="9"/>
        <v>3.5387958185588608E-3</v>
      </c>
      <c r="G70" s="66">
        <f t="shared" si="10"/>
        <v>0</v>
      </c>
      <c r="H70" s="83">
        <f>Лист4!H70</f>
        <v>0</v>
      </c>
      <c r="I70" s="487"/>
    </row>
    <row r="71" spans="1:9" outlineLevel="1" x14ac:dyDescent="0.25">
      <c r="A71" s="407">
        <f>'Свод расчетный'!A74</f>
        <v>346</v>
      </c>
      <c r="B71" s="411" t="str">
        <f>'Свод расчетный'!B74</f>
        <v>Канцтовары, хоз.товары</v>
      </c>
      <c r="C71" s="14" t="s">
        <v>132</v>
      </c>
      <c r="D71" s="444">
        <v>1</v>
      </c>
      <c r="E71" s="81">
        <f t="shared" si="6"/>
        <v>282582</v>
      </c>
      <c r="F71" s="85">
        <f t="shared" si="9"/>
        <v>3.5387958185588608E-3</v>
      </c>
      <c r="G71" s="66">
        <f t="shared" si="10"/>
        <v>0</v>
      </c>
      <c r="H71" s="83">
        <f>Лист4!H71</f>
        <v>0</v>
      </c>
      <c r="I71" s="487"/>
    </row>
    <row r="72" spans="1:9" outlineLevel="1" x14ac:dyDescent="0.25">
      <c r="A72" s="407">
        <f>'Свод расчетный'!A75</f>
        <v>346</v>
      </c>
      <c r="B72" s="411" t="str">
        <f>'Свод расчетный'!B75</f>
        <v>Дрова (Калевала, Пряжа, Лоухи)</v>
      </c>
      <c r="C72" s="14" t="s">
        <v>132</v>
      </c>
      <c r="D72" s="444">
        <v>1</v>
      </c>
      <c r="E72" s="81">
        <f t="shared" si="6"/>
        <v>282582</v>
      </c>
      <c r="F72" s="85">
        <f t="shared" si="9"/>
        <v>3.5387958185588608E-3</v>
      </c>
      <c r="G72" s="66">
        <f t="shared" si="10"/>
        <v>0</v>
      </c>
      <c r="H72" s="83">
        <f>Лист4!H72</f>
        <v>0</v>
      </c>
      <c r="I72" s="487"/>
    </row>
    <row r="73" spans="1:9" outlineLevel="1" x14ac:dyDescent="0.25">
      <c r="A73" s="407">
        <f>'Свод расчетный'!A76</f>
        <v>341</v>
      </c>
      <c r="B73" s="411" t="str">
        <f>'Свод расчетный'!B76</f>
        <v>Медицинские средства</v>
      </c>
      <c r="C73" s="14" t="s">
        <v>132</v>
      </c>
      <c r="D73" s="444">
        <v>1</v>
      </c>
      <c r="E73" s="81">
        <f t="shared" si="6"/>
        <v>282582</v>
      </c>
      <c r="F73" s="85">
        <f t="shared" si="9"/>
        <v>3.5387958185588608E-3</v>
      </c>
      <c r="G73" s="66">
        <f t="shared" si="10"/>
        <v>0</v>
      </c>
      <c r="H73" s="83">
        <f>Лист4!H73</f>
        <v>0</v>
      </c>
      <c r="I73" s="487"/>
    </row>
    <row r="74" spans="1:9" outlineLevel="1" x14ac:dyDescent="0.25">
      <c r="A74" s="407">
        <f>'Свод расчетный'!A77</f>
        <v>341</v>
      </c>
      <c r="B74" s="411" t="str">
        <f>'Свод расчетный'!B77</f>
        <v>Ветеринарные препараты</v>
      </c>
      <c r="C74" s="14" t="s">
        <v>132</v>
      </c>
      <c r="D74" s="444">
        <v>1</v>
      </c>
      <c r="E74" s="81">
        <f t="shared" si="6"/>
        <v>282582</v>
      </c>
      <c r="F74" s="85">
        <f t="shared" si="9"/>
        <v>3.5387958185588608E-3</v>
      </c>
      <c r="G74" s="66">
        <f t="shared" si="10"/>
        <v>0</v>
      </c>
      <c r="H74" s="83">
        <f>Лист4!H74</f>
        <v>0</v>
      </c>
      <c r="I74" s="487"/>
    </row>
    <row r="75" spans="1:9" outlineLevel="1" x14ac:dyDescent="0.25">
      <c r="A75" s="407">
        <f>'Свод расчетный'!A79</f>
        <v>342</v>
      </c>
      <c r="B75" s="411" t="str">
        <f>'Свод расчетный'!B79</f>
        <v>Молоко</v>
      </c>
      <c r="C75" s="14" t="s">
        <v>132</v>
      </c>
      <c r="D75" s="444">
        <v>1</v>
      </c>
      <c r="E75" s="81">
        <f t="shared" si="6"/>
        <v>282582</v>
      </c>
      <c r="F75" s="85">
        <f t="shared" si="9"/>
        <v>3.5387958185588608E-3</v>
      </c>
      <c r="G75" s="66">
        <f t="shared" si="10"/>
        <v>0</v>
      </c>
      <c r="H75" s="83">
        <f>Лист4!H75</f>
        <v>0</v>
      </c>
      <c r="I75" s="487"/>
    </row>
    <row r="76" spans="1:9" outlineLevel="1" x14ac:dyDescent="0.25">
      <c r="A76" s="407">
        <f>'Свод расчетный'!A81</f>
        <v>341</v>
      </c>
      <c r="B76" s="411" t="str">
        <f>'Свод расчетный'!B81</f>
        <v>Микрочипы</v>
      </c>
      <c r="C76" s="14" t="s">
        <v>132</v>
      </c>
      <c r="D76" s="444">
        <v>1</v>
      </c>
      <c r="E76" s="81">
        <f t="shared" si="6"/>
        <v>282582</v>
      </c>
      <c r="F76" s="85">
        <f t="shared" si="9"/>
        <v>3.5387958185588608E-3</v>
      </c>
      <c r="G76" s="66">
        <f t="shared" si="10"/>
        <v>0</v>
      </c>
      <c r="H76" s="83">
        <f>Лист4!H76</f>
        <v>0</v>
      </c>
      <c r="I76" s="487"/>
    </row>
    <row r="77" spans="1:9" outlineLevel="1" x14ac:dyDescent="0.25">
      <c r="A77" s="407">
        <f>'Свод расчетный'!A84</f>
        <v>214</v>
      </c>
      <c r="B77" s="411" t="str">
        <f>'Свод расчетный'!B84</f>
        <v>Прочие выплаты (проезд к месту отдыха и обрано)</v>
      </c>
      <c r="C77" s="14" t="s">
        <v>132</v>
      </c>
      <c r="D77" s="444">
        <v>1</v>
      </c>
      <c r="E77" s="81">
        <f t="shared" si="6"/>
        <v>282582</v>
      </c>
      <c r="F77" s="85">
        <f t="shared" si="9"/>
        <v>3.5387958185588608E-3</v>
      </c>
      <c r="G77" s="66">
        <f t="shared" si="10"/>
        <v>0</v>
      </c>
      <c r="H77" s="83">
        <f>Лист4!H78</f>
        <v>0</v>
      </c>
      <c r="I77" s="487"/>
    </row>
    <row r="78" spans="1:9" ht="25.5" outlineLevel="1" x14ac:dyDescent="0.25">
      <c r="A78" s="407" t="str">
        <f>'Свод расчетный'!A85</f>
        <v>212, 214, 226, 267</v>
      </c>
      <c r="B78" s="411" t="str">
        <f>'Свод расчетный'!B85</f>
        <v>Прочие выплаты (Пособие от 1,5 до 3-х лет, проезд до места работы и обрано, расходы по командировкам)</v>
      </c>
      <c r="C78" s="14" t="s">
        <v>132</v>
      </c>
      <c r="D78" s="444">
        <v>1</v>
      </c>
      <c r="E78" s="81">
        <f t="shared" si="6"/>
        <v>282582</v>
      </c>
      <c r="F78" s="85">
        <f t="shared" si="9"/>
        <v>3.5387958185588608E-3</v>
      </c>
      <c r="G78" s="66">
        <f t="shared" si="10"/>
        <v>0</v>
      </c>
      <c r="H78" s="83">
        <f>Лист4!H79</f>
        <v>0</v>
      </c>
      <c r="I78" s="487"/>
    </row>
    <row r="79" spans="1:9" outlineLevel="1" x14ac:dyDescent="0.25">
      <c r="A79" s="407">
        <f>Лист4!A80</f>
        <v>226</v>
      </c>
      <c r="B79" s="411" t="str">
        <f>Лист4!B80</f>
        <v>Печатная продукция ЦК</v>
      </c>
      <c r="C79" s="14" t="s">
        <v>132</v>
      </c>
      <c r="D79" s="444">
        <v>1</v>
      </c>
      <c r="E79" s="81">
        <f>'Свод РЦВК 2020'!$I$38</f>
        <v>864</v>
      </c>
      <c r="F79" s="85">
        <f t="shared" si="9"/>
        <v>1.1574074074074074</v>
      </c>
      <c r="G79" s="66">
        <f t="shared" si="10"/>
        <v>56.920419999999993</v>
      </c>
      <c r="H79" s="83">
        <f>Лист4!H80</f>
        <v>65.880115740740735</v>
      </c>
      <c r="I79" s="487"/>
    </row>
    <row r="80" spans="1:9" outlineLevel="1" x14ac:dyDescent="0.25">
      <c r="A80" s="407">
        <f>Лист4!A81</f>
        <v>226</v>
      </c>
      <c r="B80" s="411" t="str">
        <f>Лист4!B81</f>
        <v>Обслуживание сайта</v>
      </c>
      <c r="C80" s="14" t="s">
        <v>132</v>
      </c>
      <c r="D80" s="444">
        <v>1</v>
      </c>
      <c r="E80" s="81">
        <f>'Свод РЦВК 2020'!$I$38</f>
        <v>864</v>
      </c>
      <c r="F80" s="85">
        <f t="shared" ref="F80:F81" si="11">D80*1000/E80</f>
        <v>1.1574074074074074</v>
      </c>
      <c r="G80" s="66">
        <f t="shared" ref="G80:G81" si="12">H80/F80</f>
        <v>1.5</v>
      </c>
      <c r="H80" s="83">
        <f>Лист4!H81</f>
        <v>1.7361111111111112</v>
      </c>
      <c r="I80" s="487"/>
    </row>
    <row r="81" spans="1:11" outlineLevel="1" x14ac:dyDescent="0.25">
      <c r="A81" s="407">
        <f>Лист4!A82</f>
        <v>226</v>
      </c>
      <c r="B81" s="411" t="str">
        <f>Лист4!B82</f>
        <v>Консультант плюс, антивирус</v>
      </c>
      <c r="C81" s="14" t="s">
        <v>132</v>
      </c>
      <c r="D81" s="444">
        <v>1</v>
      </c>
      <c r="E81" s="81">
        <f>'Свод РЦВК 2020'!$I$38</f>
        <v>864</v>
      </c>
      <c r="F81" s="85">
        <f t="shared" si="11"/>
        <v>1.1574074074074074</v>
      </c>
      <c r="G81" s="66">
        <f t="shared" si="12"/>
        <v>232.8</v>
      </c>
      <c r="H81" s="83">
        <f>Лист4!H82</f>
        <v>269.44444444444446</v>
      </c>
      <c r="I81" s="487"/>
    </row>
    <row r="82" spans="1:11" ht="25.5" outlineLevel="1" x14ac:dyDescent="0.25">
      <c r="A82" s="407">
        <f>Лист4!A83</f>
        <v>310</v>
      </c>
      <c r="B82" s="411" t="str">
        <f>Лист4!B83</f>
        <v>Затраты на приобретение основных средств и мат.запасов ЦК</v>
      </c>
      <c r="C82" s="14" t="s">
        <v>132</v>
      </c>
      <c r="D82" s="444">
        <v>1</v>
      </c>
      <c r="E82" s="81">
        <f>'Свод РЦВК 2020'!$I$38</f>
        <v>864</v>
      </c>
      <c r="F82" s="85">
        <f t="shared" ref="F82" si="13">D82*1000/E82</f>
        <v>1.1574074074074074</v>
      </c>
      <c r="G82" s="66">
        <f t="shared" ref="G82" si="14">H82/F82</f>
        <v>243.0609</v>
      </c>
      <c r="H82" s="83">
        <f>Лист4!H83</f>
        <v>281.32048611111111</v>
      </c>
      <c r="I82" s="487"/>
    </row>
    <row r="83" spans="1:11" ht="13.5" x14ac:dyDescent="0.25">
      <c r="A83" s="1005" t="s">
        <v>74</v>
      </c>
      <c r="B83" s="1005"/>
      <c r="C83" s="1005"/>
      <c r="D83" s="1005"/>
      <c r="E83" s="1005"/>
      <c r="F83" s="1005"/>
      <c r="G83" s="1005"/>
      <c r="H83" s="92">
        <f>SUM(H49:H82)</f>
        <v>619.21194286437208</v>
      </c>
      <c r="I83" s="78"/>
      <c r="J83" s="69">
        <f>Лист4!H85</f>
        <v>619.21194286437208</v>
      </c>
      <c r="K83" s="69">
        <f>J83-H83</f>
        <v>0</v>
      </c>
    </row>
    <row r="84" spans="1:11" ht="15" x14ac:dyDescent="0.25">
      <c r="A84" s="999" t="s">
        <v>189</v>
      </c>
      <c r="B84" s="1000"/>
      <c r="C84" s="1000"/>
      <c r="D84" s="1000"/>
      <c r="E84" s="1000"/>
      <c r="F84" s="1000"/>
      <c r="G84" s="1001"/>
      <c r="H84" s="639">
        <f>H11+H20+H30+H37+H41+H47+H83</f>
        <v>619.21194286437208</v>
      </c>
      <c r="I84" s="487"/>
      <c r="J84" s="69">
        <f>Лист4!H86</f>
        <v>619.21194286437208</v>
      </c>
      <c r="K84" s="69">
        <f>J84-H84</f>
        <v>0</v>
      </c>
    </row>
    <row r="87" spans="1:11" x14ac:dyDescent="0.25">
      <c r="H87" s="69"/>
    </row>
    <row r="88" spans="1:11" x14ac:dyDescent="0.25">
      <c r="H88" s="69"/>
    </row>
  </sheetData>
  <mergeCells count="15">
    <mergeCell ref="A48:I48"/>
    <mergeCell ref="A83:G83"/>
    <mergeCell ref="A84:G84"/>
    <mergeCell ref="A31:I31"/>
    <mergeCell ref="A37:G37"/>
    <mergeCell ref="A38:I38"/>
    <mergeCell ref="A41:G41"/>
    <mergeCell ref="A42:I42"/>
    <mergeCell ref="A47:G47"/>
    <mergeCell ref="A30:G30"/>
    <mergeCell ref="A1:I1"/>
    <mergeCell ref="A11:G11"/>
    <mergeCell ref="A12:I12"/>
    <mergeCell ref="A20:G20"/>
    <mergeCell ref="A21:I21"/>
  </mergeCells>
  <printOptions horizontalCentered="1"/>
  <pageMargins left="0.23622047244094491" right="0.23622047244094491" top="0.74803149606299213" bottom="0.74803149606299213" header="0" footer="0"/>
  <pageSetup paperSize="9" scale="6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6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59" customWidth="1"/>
    <col min="9" max="9" width="49.28515625" style="60" customWidth="1"/>
    <col min="10" max="10" width="10" style="60" hidden="1" customWidth="1"/>
    <col min="11" max="11" width="0" style="60" hidden="1" customWidth="1"/>
    <col min="12" max="16384" width="8.85546875" style="60"/>
  </cols>
  <sheetData>
    <row r="1" spans="1:11" x14ac:dyDescent="0.25">
      <c r="A1" s="1078" t="s">
        <v>548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№28!B6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(ЦК)'!N7</f>
        <v>414</v>
      </c>
      <c r="D6" s="881">
        <f>'Свод РЦВК 2020'!I25</f>
        <v>18</v>
      </c>
      <c r="E6" s="882">
        <f>C6/D6</f>
        <v>23</v>
      </c>
      <c r="F6" s="875">
        <f>№28!F6</f>
        <v>772.13910001199997</v>
      </c>
      <c r="G6" s="907">
        <f>№28!G6</f>
        <v>206.49516214759072</v>
      </c>
      <c r="H6" s="150">
        <f>E6*G6</f>
        <v>4749.3887293945863</v>
      </c>
      <c r="I6" s="492" t="str">
        <f>№28!I6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SUM(H6:H6)</f>
        <v>4749.3887293945863</v>
      </c>
      <c r="I7" s="450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85488.997129102558</v>
      </c>
    </row>
    <row r="9" spans="1:11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  <c r="J10" s="59"/>
    </row>
    <row r="11" spans="1:11" outlineLevel="1" x14ac:dyDescent="0.25">
      <c r="A11" s="168">
        <v>1</v>
      </c>
      <c r="B11" s="475" t="s">
        <v>508</v>
      </c>
      <c r="C11" s="148">
        <f>D11*E11</f>
        <v>19</v>
      </c>
      <c r="D11" s="506">
        <f>D6+№22!D6</f>
        <v>19</v>
      </c>
      <c r="E11" s="43">
        <v>1</v>
      </c>
      <c r="F11" s="169">
        <v>1</v>
      </c>
      <c r="G11" s="150"/>
      <c r="H11" s="44">
        <f>E11*G11/F11</f>
        <v>0</v>
      </c>
      <c r="I11" s="1118"/>
      <c r="J11" s="59"/>
    </row>
    <row r="12" spans="1:11" ht="30" outlineLevel="1" x14ac:dyDescent="0.25">
      <c r="A12" s="168">
        <v>2</v>
      </c>
      <c r="B12" s="249" t="s">
        <v>509</v>
      </c>
      <c r="C12" s="148">
        <f>D12*E12</f>
        <v>999.99999999999989</v>
      </c>
      <c r="D12" s="44">
        <f>$D$11</f>
        <v>19</v>
      </c>
      <c r="E12" s="43">
        <f>1000/D12</f>
        <v>52.631578947368418</v>
      </c>
      <c r="F12" s="169">
        <v>1</v>
      </c>
      <c r="G12" s="150">
        <f>(10000+1000)/5000</f>
        <v>2.2000000000000002</v>
      </c>
      <c r="H12" s="44">
        <f t="shared" ref="H12:H15" si="0">E12*G12/F12</f>
        <v>115.78947368421053</v>
      </c>
      <c r="I12" s="1103"/>
      <c r="J12" s="59">
        <f>H12*18</f>
        <v>2084.2105263157896</v>
      </c>
    </row>
    <row r="13" spans="1:11" outlineLevel="1" x14ac:dyDescent="0.25">
      <c r="A13" s="168">
        <v>3</v>
      </c>
      <c r="B13" s="249" t="s">
        <v>510</v>
      </c>
      <c r="C13" s="148">
        <f>D13*E13</f>
        <v>999.99999999999989</v>
      </c>
      <c r="D13" s="44">
        <f t="shared" ref="D13:D15" si="1">$D$11</f>
        <v>19</v>
      </c>
      <c r="E13" s="43">
        <f>1000/D13</f>
        <v>52.631578947368418</v>
      </c>
      <c r="F13" s="169">
        <v>1</v>
      </c>
      <c r="G13" s="171">
        <f>3500/5000</f>
        <v>0.7</v>
      </c>
      <c r="H13" s="44">
        <f t="shared" si="0"/>
        <v>36.84210526315789</v>
      </c>
      <c r="I13" s="1103"/>
      <c r="J13" s="59">
        <f>H13*18</f>
        <v>663.15789473684208</v>
      </c>
    </row>
    <row r="14" spans="1:11" hidden="1" outlineLevel="1" x14ac:dyDescent="0.25">
      <c r="A14" s="168">
        <v>4</v>
      </c>
      <c r="B14" s="475" t="s">
        <v>511</v>
      </c>
      <c r="C14" s="148">
        <f>D14*E14</f>
        <v>760</v>
      </c>
      <c r="D14" s="44">
        <f t="shared" si="1"/>
        <v>19</v>
      </c>
      <c r="E14" s="43">
        <v>40</v>
      </c>
      <c r="F14" s="169">
        <v>1</v>
      </c>
      <c r="G14" s="488"/>
      <c r="H14" s="44">
        <f t="shared" si="0"/>
        <v>0</v>
      </c>
      <c r="I14" s="1103"/>
      <c r="J14" s="59"/>
    </row>
    <row r="15" spans="1:11" hidden="1" outlineLevel="1" x14ac:dyDescent="0.25">
      <c r="A15" s="168">
        <v>5</v>
      </c>
      <c r="B15" s="475" t="s">
        <v>512</v>
      </c>
      <c r="C15" s="148">
        <f>D15*E15</f>
        <v>760</v>
      </c>
      <c r="D15" s="44">
        <f t="shared" si="1"/>
        <v>19</v>
      </c>
      <c r="E15" s="43">
        <v>40</v>
      </c>
      <c r="F15" s="169">
        <v>1</v>
      </c>
      <c r="G15" s="488"/>
      <c r="H15" s="44">
        <f t="shared" si="0"/>
        <v>0</v>
      </c>
      <c r="I15" s="1103"/>
      <c r="J15" s="59"/>
    </row>
    <row r="16" spans="1:11" x14ac:dyDescent="0.25">
      <c r="A16" s="1072" t="s">
        <v>14</v>
      </c>
      <c r="B16" s="1073"/>
      <c r="C16" s="1073"/>
      <c r="D16" s="1073"/>
      <c r="E16" s="1073"/>
      <c r="F16" s="1073"/>
      <c r="G16" s="1074"/>
      <c r="H16" s="248">
        <f>SUM(H11:H15)</f>
        <v>152.63157894736844</v>
      </c>
      <c r="I16" s="1104"/>
      <c r="J16" s="59"/>
    </row>
    <row r="17" spans="1:11" s="123" customFormat="1" ht="67.5" x14ac:dyDescent="0.25">
      <c r="A17" s="141" t="s">
        <v>0</v>
      </c>
      <c r="B17" s="141" t="s">
        <v>9</v>
      </c>
      <c r="C17" s="900" t="s">
        <v>1278</v>
      </c>
      <c r="D17" s="141" t="s">
        <v>123</v>
      </c>
      <c r="E17" s="141" t="s">
        <v>10</v>
      </c>
      <c r="F17" s="141" t="s">
        <v>15</v>
      </c>
      <c r="G17" s="141" t="s">
        <v>939</v>
      </c>
      <c r="H17" s="141" t="s">
        <v>347</v>
      </c>
      <c r="I17" s="141" t="s">
        <v>4</v>
      </c>
      <c r="J17" s="59"/>
    </row>
    <row r="18" spans="1:11" s="123" customFormat="1" x14ac:dyDescent="0.25">
      <c r="A18" s="8">
        <v>1</v>
      </c>
      <c r="B18" s="8">
        <v>2</v>
      </c>
      <c r="C18" s="8">
        <v>3</v>
      </c>
      <c r="D18" s="8">
        <v>4</v>
      </c>
      <c r="E18" s="8" t="s">
        <v>5</v>
      </c>
      <c r="F18" s="8">
        <v>6</v>
      </c>
      <c r="G18" s="8">
        <v>7</v>
      </c>
      <c r="H18" s="8" t="s">
        <v>12</v>
      </c>
      <c r="I18" s="8">
        <v>9</v>
      </c>
      <c r="J18" s="59"/>
    </row>
    <row r="19" spans="1:11" x14ac:dyDescent="0.25">
      <c r="A19" s="1126" t="s">
        <v>16</v>
      </c>
      <c r="B19" s="1126"/>
      <c r="C19" s="1126"/>
      <c r="D19" s="1126"/>
      <c r="E19" s="1126"/>
      <c r="F19" s="1126"/>
      <c r="G19" s="1126"/>
      <c r="H19" s="1126"/>
      <c r="I19" s="1126"/>
      <c r="J19" s="59"/>
    </row>
    <row r="20" spans="1:11" outlineLevel="1" x14ac:dyDescent="0.25">
      <c r="A20" s="168">
        <v>1</v>
      </c>
      <c r="B20" s="254" t="s">
        <v>317</v>
      </c>
      <c r="C20" s="148">
        <f t="shared" ref="C20:C24" si="2">D20*E20</f>
        <v>1900</v>
      </c>
      <c r="D20" s="44">
        <f t="shared" ref="D20:D24" si="3">$D$11</f>
        <v>19</v>
      </c>
      <c r="E20" s="43">
        <f>2*50</f>
        <v>100</v>
      </c>
      <c r="F20" s="169">
        <v>1</v>
      </c>
      <c r="G20" s="171">
        <f>250/500</f>
        <v>0.5</v>
      </c>
      <c r="H20" s="44">
        <f>E20*G20/F20</f>
        <v>50</v>
      </c>
      <c r="I20" s="1133" t="s">
        <v>505</v>
      </c>
      <c r="J20" s="59">
        <f>H20*D20</f>
        <v>950</v>
      </c>
    </row>
    <row r="21" spans="1:11" outlineLevel="1" x14ac:dyDescent="0.25">
      <c r="A21" s="168">
        <v>2</v>
      </c>
      <c r="B21" s="254" t="s">
        <v>506</v>
      </c>
      <c r="C21" s="148">
        <f t="shared" si="2"/>
        <v>19</v>
      </c>
      <c r="D21" s="44">
        <f t="shared" si="3"/>
        <v>19</v>
      </c>
      <c r="E21" s="43">
        <v>1</v>
      </c>
      <c r="F21" s="169">
        <v>1</v>
      </c>
      <c r="G21" s="150">
        <f>J21/D21</f>
        <v>2631.5789473684213</v>
      </c>
      <c r="H21" s="44">
        <f t="shared" ref="H21:H24" si="4">E21*G21/F21</f>
        <v>2631.5789473684213</v>
      </c>
      <c r="I21" s="1134"/>
      <c r="J21" s="59">
        <v>50000</v>
      </c>
      <c r="K21" s="59"/>
    </row>
    <row r="22" spans="1:11" outlineLevel="1" x14ac:dyDescent="0.25">
      <c r="A22" s="168">
        <v>3</v>
      </c>
      <c r="B22" s="254" t="s">
        <v>341</v>
      </c>
      <c r="C22" s="148">
        <f t="shared" si="2"/>
        <v>19</v>
      </c>
      <c r="D22" s="44">
        <f t="shared" si="3"/>
        <v>19</v>
      </c>
      <c r="E22" s="43">
        <v>1</v>
      </c>
      <c r="F22" s="169">
        <v>1</v>
      </c>
      <c r="G22" s="150">
        <f t="shared" ref="G22:G24" si="5">J22/D22</f>
        <v>521.0526315789474</v>
      </c>
      <c r="H22" s="44">
        <f t="shared" si="4"/>
        <v>521.0526315789474</v>
      </c>
      <c r="I22" s="1134"/>
      <c r="J22" s="59">
        <v>9900</v>
      </c>
      <c r="K22" s="59"/>
    </row>
    <row r="23" spans="1:11" ht="30" outlineLevel="1" x14ac:dyDescent="0.25">
      <c r="A23" s="485">
        <v>4</v>
      </c>
      <c r="B23" s="494" t="s">
        <v>1340</v>
      </c>
      <c r="C23" s="148">
        <f t="shared" si="2"/>
        <v>19</v>
      </c>
      <c r="D23" s="44">
        <f t="shared" si="3"/>
        <v>19</v>
      </c>
      <c r="E23" s="43">
        <v>1</v>
      </c>
      <c r="F23" s="169">
        <v>1</v>
      </c>
      <c r="G23" s="150">
        <f>J23/D23</f>
        <v>821.0526315789474</v>
      </c>
      <c r="H23" s="44">
        <f t="shared" si="4"/>
        <v>821.0526315789474</v>
      </c>
      <c r="I23" s="1134"/>
      <c r="J23" s="59">
        <v>15600</v>
      </c>
      <c r="K23" s="59"/>
    </row>
    <row r="24" spans="1:11" ht="45" outlineLevel="1" x14ac:dyDescent="0.25">
      <c r="A24" s="168">
        <v>5</v>
      </c>
      <c r="B24" s="249" t="s">
        <v>513</v>
      </c>
      <c r="C24" s="148">
        <f t="shared" si="2"/>
        <v>19</v>
      </c>
      <c r="D24" s="44">
        <f t="shared" si="3"/>
        <v>19</v>
      </c>
      <c r="E24" s="43">
        <v>1</v>
      </c>
      <c r="F24" s="169">
        <v>1</v>
      </c>
      <c r="G24" s="150">
        <f t="shared" si="5"/>
        <v>7016.4273684210521</v>
      </c>
      <c r="H24" s="44">
        <f t="shared" si="4"/>
        <v>7016.4273684210521</v>
      </c>
      <c r="I24" s="1134"/>
      <c r="J24" s="59">
        <f>15212.12+121000-J12-J13-№22!J12-№22!J13</f>
        <v>133312.12</v>
      </c>
      <c r="K24" s="59"/>
    </row>
    <row r="25" spans="1:11" x14ac:dyDescent="0.25">
      <c r="A25" s="1072" t="s">
        <v>17</v>
      </c>
      <c r="B25" s="1073"/>
      <c r="C25" s="1073"/>
      <c r="D25" s="1073"/>
      <c r="E25" s="1073"/>
      <c r="F25" s="1073"/>
      <c r="G25" s="1074"/>
      <c r="H25" s="248">
        <f>SUM(H20:H24)</f>
        <v>11040.111578947368</v>
      </c>
      <c r="I25" s="1135"/>
    </row>
    <row r="26" spans="1:11" x14ac:dyDescent="0.25">
      <c r="A26" s="1127" t="s">
        <v>18</v>
      </c>
      <c r="B26" s="1128"/>
      <c r="C26" s="1128"/>
      <c r="D26" s="1128"/>
      <c r="E26" s="1128"/>
      <c r="F26" s="1128"/>
      <c r="G26" s="1129"/>
      <c r="H26" s="498">
        <f>H25+H16+H7</f>
        <v>15942.131887289323</v>
      </c>
      <c r="I26" s="169"/>
    </row>
  </sheetData>
  <mergeCells count="9">
    <mergeCell ref="A1:I1"/>
    <mergeCell ref="A19:I19"/>
    <mergeCell ref="I20:I25"/>
    <mergeCell ref="A25:G25"/>
    <mergeCell ref="A26:G26"/>
    <mergeCell ref="A7:G7"/>
    <mergeCell ref="A10:I10"/>
    <mergeCell ref="I11:I16"/>
    <mergeCell ref="A16:G16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089" t="s">
        <v>549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2" ht="6" customHeight="1" x14ac:dyDescent="0.25">
      <c r="A2" s="279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79"/>
    </row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127.5" x14ac:dyDescent="0.25">
      <c r="A6" s="256" t="str">
        <f>'Свод РЦВК 2020'!D25</f>
        <v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</v>
      </c>
      <c r="B6" s="205">
        <f>№21!H7</f>
        <v>4749.3887293945863</v>
      </c>
      <c r="C6" s="205">
        <f>№21!H16</f>
        <v>152.63157894736844</v>
      </c>
      <c r="D6" s="205">
        <f>№21!H25</f>
        <v>11040.111578947368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16561.34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6"/>
  <sheetViews>
    <sheetView workbookViewId="0">
      <pane xSplit="2" ySplit="4" topLeftCell="C8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59" customWidth="1"/>
    <col min="9" max="9" width="49.28515625" style="60" customWidth="1"/>
    <col min="10" max="10" width="10" style="60" hidden="1" customWidth="1"/>
    <col min="11" max="11" width="0" style="60" hidden="1" customWidth="1"/>
    <col min="12" max="16384" width="8.85546875" style="60"/>
  </cols>
  <sheetData>
    <row r="1" spans="1:11" x14ac:dyDescent="0.25">
      <c r="A1" s="1078" t="s">
        <v>550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82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№21!B6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(ЦК)'!N8</f>
        <v>23</v>
      </c>
      <c r="D6" s="881">
        <f>'Свод РЦВК 2020'!I26</f>
        <v>1</v>
      </c>
      <c r="E6" s="882">
        <f>C6/D6</f>
        <v>23</v>
      </c>
      <c r="F6" s="875">
        <f>№28!F6</f>
        <v>772.13910001199997</v>
      </c>
      <c r="G6" s="907">
        <f>№28!G6</f>
        <v>206.49516214759072</v>
      </c>
      <c r="H6" s="150">
        <f>E6*G6</f>
        <v>4749.3887293945863</v>
      </c>
      <c r="I6" s="492" t="str">
        <f>№21!I6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SUM(H6:H6)</f>
        <v>4749.3887293945863</v>
      </c>
      <c r="I7" s="454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4749.3887293945863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82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>
        <v>1</v>
      </c>
      <c r="B11" s="475" t="s">
        <v>508</v>
      </c>
      <c r="C11" s="148">
        <f>D11*E11</f>
        <v>19</v>
      </c>
      <c r="D11" s="506">
        <f>D6+№21!D6</f>
        <v>19</v>
      </c>
      <c r="E11" s="43">
        <v>1</v>
      </c>
      <c r="F11" s="169">
        <v>1</v>
      </c>
      <c r="G11" s="150"/>
      <c r="H11" s="44">
        <f>E11*G11/F11</f>
        <v>0</v>
      </c>
      <c r="I11" s="1118"/>
    </row>
    <row r="12" spans="1:11" ht="30" outlineLevel="1" x14ac:dyDescent="0.25">
      <c r="A12" s="168">
        <v>2</v>
      </c>
      <c r="B12" s="249" t="s">
        <v>509</v>
      </c>
      <c r="C12" s="148">
        <f>D12*E12</f>
        <v>999.99999999999989</v>
      </c>
      <c r="D12" s="44">
        <f>$D$11</f>
        <v>19</v>
      </c>
      <c r="E12" s="43">
        <f>1000/D12</f>
        <v>52.631578947368418</v>
      </c>
      <c r="F12" s="169">
        <v>1</v>
      </c>
      <c r="G12" s="150">
        <f>(10000+1000)/5000</f>
        <v>2.2000000000000002</v>
      </c>
      <c r="H12" s="44">
        <f t="shared" ref="H12:H15" si="0">E12*G12/F12</f>
        <v>115.78947368421053</v>
      </c>
      <c r="I12" s="1103"/>
      <c r="J12" s="59">
        <f>H12*1</f>
        <v>115.78947368421053</v>
      </c>
    </row>
    <row r="13" spans="1:11" outlineLevel="1" x14ac:dyDescent="0.25">
      <c r="A13" s="168">
        <v>3</v>
      </c>
      <c r="B13" s="249" t="s">
        <v>510</v>
      </c>
      <c r="C13" s="148">
        <f>D13*E13</f>
        <v>999.99999999999989</v>
      </c>
      <c r="D13" s="44">
        <f>$D$11</f>
        <v>19</v>
      </c>
      <c r="E13" s="43">
        <f>1000/D13</f>
        <v>52.631578947368418</v>
      </c>
      <c r="F13" s="169">
        <v>1</v>
      </c>
      <c r="G13" s="171">
        <f>3500/5000</f>
        <v>0.7</v>
      </c>
      <c r="H13" s="44">
        <f t="shared" si="0"/>
        <v>36.84210526315789</v>
      </c>
      <c r="I13" s="1103"/>
      <c r="J13" s="59">
        <f>H13*1</f>
        <v>36.84210526315789</v>
      </c>
    </row>
    <row r="14" spans="1:11" hidden="1" outlineLevel="1" x14ac:dyDescent="0.25">
      <c r="A14" s="168">
        <v>4</v>
      </c>
      <c r="B14" s="475" t="s">
        <v>511</v>
      </c>
      <c r="C14" s="148">
        <f>D14*E14</f>
        <v>760</v>
      </c>
      <c r="D14" s="44">
        <f>$D$11</f>
        <v>19</v>
      </c>
      <c r="E14" s="43">
        <v>40</v>
      </c>
      <c r="F14" s="169">
        <v>1</v>
      </c>
      <c r="G14" s="488"/>
      <c r="H14" s="44">
        <f t="shared" si="0"/>
        <v>0</v>
      </c>
      <c r="I14" s="1103"/>
      <c r="J14" s="59"/>
    </row>
    <row r="15" spans="1:11" hidden="1" outlineLevel="1" x14ac:dyDescent="0.25">
      <c r="A15" s="168">
        <v>5</v>
      </c>
      <c r="B15" s="475" t="s">
        <v>512</v>
      </c>
      <c r="C15" s="148">
        <f>D15*E15</f>
        <v>760</v>
      </c>
      <c r="D15" s="44">
        <f>$D$11</f>
        <v>19</v>
      </c>
      <c r="E15" s="43">
        <v>40</v>
      </c>
      <c r="F15" s="169">
        <v>1</v>
      </c>
      <c r="G15" s="488"/>
      <c r="H15" s="44">
        <f t="shared" si="0"/>
        <v>0</v>
      </c>
      <c r="I15" s="1103"/>
      <c r="J15" s="59"/>
    </row>
    <row r="16" spans="1:11" x14ac:dyDescent="0.25">
      <c r="A16" s="1072" t="s">
        <v>14</v>
      </c>
      <c r="B16" s="1073"/>
      <c r="C16" s="1073"/>
      <c r="D16" s="1073"/>
      <c r="E16" s="1073"/>
      <c r="F16" s="1073"/>
      <c r="G16" s="1074"/>
      <c r="H16" s="248">
        <f>SUM(H11:H15)</f>
        <v>152.63157894736844</v>
      </c>
      <c r="I16" s="1104"/>
      <c r="J16" s="59"/>
    </row>
    <row r="17" spans="1:10" s="123" customFormat="1" ht="67.5" x14ac:dyDescent="0.25">
      <c r="A17" s="141" t="s">
        <v>0</v>
      </c>
      <c r="B17" s="141" t="s">
        <v>9</v>
      </c>
      <c r="C17" s="900" t="s">
        <v>1278</v>
      </c>
      <c r="D17" s="141" t="s">
        <v>123</v>
      </c>
      <c r="E17" s="141" t="s">
        <v>10</v>
      </c>
      <c r="F17" s="141" t="s">
        <v>15</v>
      </c>
      <c r="G17" s="141" t="s">
        <v>939</v>
      </c>
      <c r="H17" s="141" t="s">
        <v>347</v>
      </c>
      <c r="I17" s="141" t="s">
        <v>4</v>
      </c>
      <c r="J17" s="59"/>
    </row>
    <row r="18" spans="1:10" s="123" customFormat="1" x14ac:dyDescent="0.25">
      <c r="A18" s="246">
        <v>1</v>
      </c>
      <c r="B18" s="246">
        <v>2</v>
      </c>
      <c r="C18" s="246">
        <v>3</v>
      </c>
      <c r="D18" s="246">
        <v>4</v>
      </c>
      <c r="E18" s="246" t="s">
        <v>5</v>
      </c>
      <c r="F18" s="246">
        <v>6</v>
      </c>
      <c r="G18" s="246">
        <v>7</v>
      </c>
      <c r="H18" s="282" t="s">
        <v>12</v>
      </c>
      <c r="I18" s="246">
        <v>9</v>
      </c>
      <c r="J18" s="59"/>
    </row>
    <row r="19" spans="1:10" x14ac:dyDescent="0.25">
      <c r="A19" s="1126" t="s">
        <v>16</v>
      </c>
      <c r="B19" s="1126"/>
      <c r="C19" s="1126"/>
      <c r="D19" s="1126"/>
      <c r="E19" s="1126"/>
      <c r="F19" s="1126"/>
      <c r="G19" s="1126"/>
      <c r="H19" s="1126"/>
      <c r="I19" s="1126"/>
      <c r="J19" s="59"/>
    </row>
    <row r="20" spans="1:10" outlineLevel="1" x14ac:dyDescent="0.25">
      <c r="A20" s="168">
        <v>1</v>
      </c>
      <c r="B20" s="254" t="s">
        <v>317</v>
      </c>
      <c r="C20" s="148">
        <f>D20*E20</f>
        <v>1900</v>
      </c>
      <c r="D20" s="44">
        <f>$D$11</f>
        <v>19</v>
      </c>
      <c r="E20" s="43">
        <v>100</v>
      </c>
      <c r="F20" s="169">
        <v>1</v>
      </c>
      <c r="G20" s="171">
        <f>250/500</f>
        <v>0.5</v>
      </c>
      <c r="H20" s="44">
        <f t="shared" ref="H20:H24" si="1">E20*G20/F20</f>
        <v>50</v>
      </c>
      <c r="I20" s="1133" t="s">
        <v>505</v>
      </c>
      <c r="J20" s="59">
        <f>H20*D20</f>
        <v>950</v>
      </c>
    </row>
    <row r="21" spans="1:10" outlineLevel="1" x14ac:dyDescent="0.25">
      <c r="A21" s="168">
        <v>2</v>
      </c>
      <c r="B21" s="254" t="s">
        <v>506</v>
      </c>
      <c r="C21" s="148">
        <f>D21*E21</f>
        <v>19</v>
      </c>
      <c r="D21" s="44">
        <f t="shared" ref="D21:D24" si="2">$D$11</f>
        <v>19</v>
      </c>
      <c r="E21" s="43">
        <v>1</v>
      </c>
      <c r="F21" s="169">
        <v>1</v>
      </c>
      <c r="G21" s="150">
        <f>№21!G21</f>
        <v>2631.5789473684213</v>
      </c>
      <c r="H21" s="44">
        <f>E21*G21/F21</f>
        <v>2631.5789473684213</v>
      </c>
      <c r="I21" s="1134"/>
      <c r="J21" s="59"/>
    </row>
    <row r="22" spans="1:10" outlineLevel="1" x14ac:dyDescent="0.25">
      <c r="A22" s="168">
        <v>3</v>
      </c>
      <c r="B22" s="254" t="s">
        <v>341</v>
      </c>
      <c r="C22" s="148">
        <f>D22*E22</f>
        <v>19</v>
      </c>
      <c r="D22" s="44">
        <f t="shared" si="2"/>
        <v>19</v>
      </c>
      <c r="E22" s="43">
        <v>1</v>
      </c>
      <c r="F22" s="169">
        <v>1</v>
      </c>
      <c r="G22" s="150">
        <f>№21!G22</f>
        <v>521.0526315789474</v>
      </c>
      <c r="H22" s="44">
        <f t="shared" si="1"/>
        <v>521.0526315789474</v>
      </c>
      <c r="I22" s="1134"/>
      <c r="J22" s="59"/>
    </row>
    <row r="23" spans="1:10" ht="30" outlineLevel="1" x14ac:dyDescent="0.25">
      <c r="A23" s="485">
        <v>4</v>
      </c>
      <c r="B23" s="494" t="s">
        <v>1340</v>
      </c>
      <c r="C23" s="148">
        <f>D23*E23</f>
        <v>19</v>
      </c>
      <c r="D23" s="44">
        <f t="shared" si="2"/>
        <v>19</v>
      </c>
      <c r="E23" s="43">
        <v>1</v>
      </c>
      <c r="F23" s="169">
        <v>1</v>
      </c>
      <c r="G23" s="150">
        <f>№21!G23</f>
        <v>821.0526315789474</v>
      </c>
      <c r="H23" s="44">
        <f t="shared" si="1"/>
        <v>821.0526315789474</v>
      </c>
      <c r="I23" s="1134"/>
      <c r="J23" s="59"/>
    </row>
    <row r="24" spans="1:10" ht="45" outlineLevel="1" x14ac:dyDescent="0.25">
      <c r="A24" s="168">
        <v>5</v>
      </c>
      <c r="B24" s="249" t="s">
        <v>513</v>
      </c>
      <c r="C24" s="148">
        <f>D24*E24</f>
        <v>19</v>
      </c>
      <c r="D24" s="44">
        <f t="shared" si="2"/>
        <v>19</v>
      </c>
      <c r="E24" s="43">
        <v>1</v>
      </c>
      <c r="F24" s="169">
        <v>1</v>
      </c>
      <c r="G24" s="150">
        <f>№21!G24</f>
        <v>7016.4273684210521</v>
      </c>
      <c r="H24" s="44">
        <f t="shared" si="1"/>
        <v>7016.4273684210521</v>
      </c>
      <c r="I24" s="1134"/>
      <c r="J24" s="59"/>
    </row>
    <row r="25" spans="1:10" x14ac:dyDescent="0.25">
      <c r="A25" s="1072" t="s">
        <v>17</v>
      </c>
      <c r="B25" s="1073"/>
      <c r="C25" s="1073"/>
      <c r="D25" s="1073"/>
      <c r="E25" s="1073"/>
      <c r="F25" s="1073"/>
      <c r="G25" s="1074"/>
      <c r="H25" s="248">
        <f>SUM(H20:H24)</f>
        <v>11040.111578947368</v>
      </c>
      <c r="I25" s="1135"/>
      <c r="J25" s="59"/>
    </row>
    <row r="26" spans="1:10" x14ac:dyDescent="0.25">
      <c r="A26" s="1127" t="s">
        <v>18</v>
      </c>
      <c r="B26" s="1128"/>
      <c r="C26" s="1128"/>
      <c r="D26" s="1128"/>
      <c r="E26" s="1128"/>
      <c r="F26" s="1128"/>
      <c r="G26" s="1129"/>
      <c r="H26" s="498">
        <f>H25+H16+H7</f>
        <v>15942.131887289323</v>
      </c>
      <c r="I26" s="169"/>
    </row>
  </sheetData>
  <mergeCells count="9">
    <mergeCell ref="A1:I1"/>
    <mergeCell ref="A19:I19"/>
    <mergeCell ref="I20:I25"/>
    <mergeCell ref="A25:G25"/>
    <mergeCell ref="A26:G26"/>
    <mergeCell ref="A7:G7"/>
    <mergeCell ref="A10:I10"/>
    <mergeCell ref="I11:I16"/>
    <mergeCell ref="A16:G16"/>
  </mergeCells>
  <pageMargins left="0.31496062992125984" right="0.31496062992125984" top="0.74803149606299213" bottom="0.15748031496062992" header="0.31496062992125984" footer="0.31496062992125984"/>
  <pageSetup paperSize="9" scale="85" orientation="landscape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551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76.5" x14ac:dyDescent="0.25">
      <c r="A6" s="256" t="str">
        <f>'Свод РЦВК 2020'!D26</f>
        <v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</v>
      </c>
      <c r="B6" s="205">
        <f>№22!H7</f>
        <v>4749.3887293945863</v>
      </c>
      <c r="C6" s="205">
        <f>№22!H16</f>
        <v>152.63157894736844</v>
      </c>
      <c r="D6" s="205">
        <f>№22!H25</f>
        <v>11040.111578947368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16561.34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59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78" t="s">
        <v>552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82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№22!B6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(ЦК)'!N9</f>
        <v>2606.5</v>
      </c>
      <c r="D6" s="881">
        <f>'Свод РЦВК 2020'!I27</f>
        <v>650</v>
      </c>
      <c r="E6" s="882">
        <f>C6/D6</f>
        <v>4.01</v>
      </c>
      <c r="F6" s="875">
        <f>№28!F6</f>
        <v>772.13910001199997</v>
      </c>
      <c r="G6" s="907">
        <f>№28!G6</f>
        <v>206.49516214759072</v>
      </c>
      <c r="H6" s="150">
        <f>E6*G6</f>
        <v>828.04560021183875</v>
      </c>
      <c r="I6" s="492" t="str">
        <f>№22!I6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SUM(H6:H6)</f>
        <v>828.04560021183875</v>
      </c>
      <c r="I7" s="454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538229.64013769524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82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>
        <v>1</v>
      </c>
      <c r="B11" s="249"/>
      <c r="C11" s="148">
        <v>1</v>
      </c>
      <c r="D11" s="506">
        <f>D6</f>
        <v>650</v>
      </c>
      <c r="E11" s="169">
        <f>C11/D11</f>
        <v>1.5384615384615385E-3</v>
      </c>
      <c r="F11" s="169">
        <v>1</v>
      </c>
      <c r="G11" s="150"/>
      <c r="H11" s="150">
        <f>E11*G11/F11</f>
        <v>0</v>
      </c>
      <c r="I11" s="1118"/>
    </row>
    <row r="12" spans="1:11" outlineLevel="1" x14ac:dyDescent="0.25">
      <c r="A12" s="168">
        <v>2</v>
      </c>
      <c r="B12" s="249"/>
      <c r="C12" s="148">
        <v>1</v>
      </c>
      <c r="D12" s="44">
        <f>$D$11</f>
        <v>650</v>
      </c>
      <c r="E12" s="169">
        <f>C12/D12</f>
        <v>1.5384615384615385E-3</v>
      </c>
      <c r="F12" s="169">
        <v>1</v>
      </c>
      <c r="G12" s="150"/>
      <c r="H12" s="150">
        <f>E12*G12/F12</f>
        <v>0</v>
      </c>
      <c r="I12" s="1103"/>
    </row>
    <row r="13" spans="1:11" x14ac:dyDescent="0.25">
      <c r="A13" s="1072" t="s">
        <v>14</v>
      </c>
      <c r="B13" s="1073"/>
      <c r="C13" s="1073"/>
      <c r="D13" s="1073"/>
      <c r="E13" s="1073"/>
      <c r="F13" s="1073"/>
      <c r="G13" s="1074"/>
      <c r="H13" s="248">
        <f>SUM(H11:H12)</f>
        <v>0</v>
      </c>
      <c r="I13" s="1104"/>
    </row>
    <row r="14" spans="1:11" s="123" customFormat="1" ht="67.5" x14ac:dyDescent="0.25">
      <c r="A14" s="141" t="s">
        <v>0</v>
      </c>
      <c r="B14" s="141" t="s">
        <v>9</v>
      </c>
      <c r="C14" s="900" t="s">
        <v>1278</v>
      </c>
      <c r="D14" s="141" t="s">
        <v>123</v>
      </c>
      <c r="E14" s="141" t="s">
        <v>10</v>
      </c>
      <c r="F14" s="141" t="s">
        <v>15</v>
      </c>
      <c r="G14" s="141" t="s">
        <v>939</v>
      </c>
      <c r="H14" s="141" t="s">
        <v>347</v>
      </c>
      <c r="I14" s="141" t="s">
        <v>4</v>
      </c>
    </row>
    <row r="15" spans="1:11" s="123" customFormat="1" ht="11.25" x14ac:dyDescent="0.25">
      <c r="A15" s="246">
        <v>1</v>
      </c>
      <c r="B15" s="246">
        <v>2</v>
      </c>
      <c r="C15" s="246">
        <v>3</v>
      </c>
      <c r="D15" s="246">
        <v>4</v>
      </c>
      <c r="E15" s="246" t="s">
        <v>5</v>
      </c>
      <c r="F15" s="246">
        <v>6</v>
      </c>
      <c r="G15" s="246">
        <v>7</v>
      </c>
      <c r="H15" s="282" t="s">
        <v>12</v>
      </c>
      <c r="I15" s="246">
        <v>9</v>
      </c>
    </row>
    <row r="16" spans="1:11" x14ac:dyDescent="0.25">
      <c r="A16" s="1126" t="s">
        <v>16</v>
      </c>
      <c r="B16" s="1126"/>
      <c r="C16" s="1126"/>
      <c r="D16" s="1126"/>
      <c r="E16" s="1126"/>
      <c r="F16" s="1126"/>
      <c r="G16" s="1126"/>
      <c r="H16" s="1126"/>
      <c r="I16" s="1126"/>
    </row>
    <row r="17" spans="1:10" outlineLevel="1" x14ac:dyDescent="0.25">
      <c r="A17" s="168">
        <v>1</v>
      </c>
      <c r="B17" s="254" t="s">
        <v>317</v>
      </c>
      <c r="C17" s="148">
        <f>D17*E17</f>
        <v>3250</v>
      </c>
      <c r="D17" s="44">
        <f>$D$11</f>
        <v>650</v>
      </c>
      <c r="E17" s="169">
        <v>5</v>
      </c>
      <c r="F17" s="169">
        <v>1</v>
      </c>
      <c r="G17" s="171">
        <f>250/500</f>
        <v>0.5</v>
      </c>
      <c r="H17" s="150">
        <f>E17*G17/F17</f>
        <v>2.5</v>
      </c>
      <c r="I17" s="1118" t="s">
        <v>505</v>
      </c>
      <c r="J17" s="60">
        <f>H17*D17</f>
        <v>1625</v>
      </c>
    </row>
    <row r="18" spans="1:10" outlineLevel="1" x14ac:dyDescent="0.25">
      <c r="A18" s="168"/>
      <c r="B18" s="169"/>
      <c r="C18" s="170"/>
      <c r="D18" s="251"/>
      <c r="E18" s="169"/>
      <c r="F18" s="169"/>
      <c r="G18" s="171"/>
      <c r="H18" s="150"/>
      <c r="I18" s="1103"/>
    </row>
    <row r="19" spans="1:10" x14ac:dyDescent="0.25">
      <c r="A19" s="1072" t="s">
        <v>17</v>
      </c>
      <c r="B19" s="1073"/>
      <c r="C19" s="1073"/>
      <c r="D19" s="1073"/>
      <c r="E19" s="1073"/>
      <c r="F19" s="1073"/>
      <c r="G19" s="1074"/>
      <c r="H19" s="248">
        <f>SUM(H17:H18)</f>
        <v>2.5</v>
      </c>
      <c r="I19" s="1104"/>
    </row>
    <row r="20" spans="1:10" x14ac:dyDescent="0.25">
      <c r="A20" s="1127" t="s">
        <v>18</v>
      </c>
      <c r="B20" s="1128"/>
      <c r="C20" s="1128"/>
      <c r="D20" s="1128"/>
      <c r="E20" s="1128"/>
      <c r="F20" s="1128"/>
      <c r="G20" s="1129"/>
      <c r="H20" s="498">
        <f>H19+H13+H7</f>
        <v>830.54560021183875</v>
      </c>
      <c r="I20" s="169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55118110236220474" header="0.31496062992125984" footer="0.31496062992125984"/>
  <pageSetup paperSize="9" scale="85" orientation="landscape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207" customWidth="1"/>
    <col min="2" max="4" width="10" style="207" customWidth="1"/>
    <col min="5" max="11" width="7.7109375" style="207" customWidth="1"/>
    <col min="12" max="12" width="16.42578125" style="207" customWidth="1"/>
    <col min="13" max="16384" width="9.140625" style="207"/>
  </cols>
  <sheetData>
    <row r="1" spans="1:12" x14ac:dyDescent="0.25">
      <c r="A1" s="1112" t="s">
        <v>553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s="278" customFormat="1" ht="6" customHeight="1" x14ac:dyDescent="0.25">
      <c r="B2" s="280"/>
    </row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908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206" customFormat="1" ht="89.25" x14ac:dyDescent="0.25">
      <c r="A6" s="256" t="str">
        <f>'Свод РЦВК 2020'!D27</f>
        <v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</v>
      </c>
      <c r="B6" s="205">
        <f>№23!H7</f>
        <v>828.04560021183875</v>
      </c>
      <c r="C6" s="205">
        <f>№23!H13</f>
        <v>0</v>
      </c>
      <c r="D6" s="205">
        <f>№23!H19</f>
        <v>2.5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1449.76</v>
      </c>
    </row>
    <row r="18" spans="6:6" x14ac:dyDescent="0.25">
      <c r="F18" s="257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9.5703125" style="60" hidden="1" customWidth="1"/>
    <col min="11" max="11" width="0" style="60" hidden="1" customWidth="1"/>
    <col min="12" max="16384" width="8.85546875" style="60"/>
  </cols>
  <sheetData>
    <row r="1" spans="1:11" x14ac:dyDescent="0.25">
      <c r="A1" s="1078" t="s">
        <v>554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46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№23!B6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(ЦК)'!N10</f>
        <v>150</v>
      </c>
      <c r="D6" s="881">
        <f>'Свод РЦВК 2020'!I28</f>
        <v>60</v>
      </c>
      <c r="E6" s="882">
        <f>C6/D6</f>
        <v>2.5</v>
      </c>
      <c r="F6" s="875">
        <f>№28!F6</f>
        <v>772.13910001199997</v>
      </c>
      <c r="G6" s="907">
        <f>№28!G6</f>
        <v>206.49516214759072</v>
      </c>
      <c r="H6" s="150">
        <f>E6*G6</f>
        <v>516.23790536897684</v>
      </c>
      <c r="I6" s="492" t="str">
        <f>№23!I6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53">
        <f>SUM(H6:H6)</f>
        <v>516.23790536897684</v>
      </c>
      <c r="I7" s="454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30974.274322138612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46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>
        <v>1</v>
      </c>
      <c r="B11" s="249"/>
      <c r="C11" s="148">
        <f>D11</f>
        <v>80</v>
      </c>
      <c r="D11" s="506">
        <f>D6+№25!D6</f>
        <v>80</v>
      </c>
      <c r="E11" s="43">
        <f>C11/D11</f>
        <v>1</v>
      </c>
      <c r="F11" s="169">
        <v>1</v>
      </c>
      <c r="G11" s="150"/>
      <c r="H11" s="44">
        <f>E11*G11/F11</f>
        <v>0</v>
      </c>
      <c r="I11" s="1118"/>
      <c r="J11" s="909"/>
    </row>
    <row r="12" spans="1:11" outlineLevel="1" x14ac:dyDescent="0.25">
      <c r="A12" s="168"/>
      <c r="B12" s="249"/>
      <c r="C12" s="148"/>
      <c r="D12" s="44"/>
      <c r="E12" s="169"/>
      <c r="F12" s="169"/>
      <c r="G12" s="171"/>
      <c r="H12" s="171"/>
      <c r="I12" s="1103"/>
    </row>
    <row r="13" spans="1:11" x14ac:dyDescent="0.25">
      <c r="A13" s="1072" t="s">
        <v>14</v>
      </c>
      <c r="B13" s="1073"/>
      <c r="C13" s="1073"/>
      <c r="D13" s="1073"/>
      <c r="E13" s="1073"/>
      <c r="F13" s="1073"/>
      <c r="G13" s="1074"/>
      <c r="H13" s="248">
        <f>SUM(H11:H12)</f>
        <v>0</v>
      </c>
      <c r="I13" s="1104"/>
    </row>
    <row r="14" spans="1:11" s="123" customFormat="1" ht="67.5" x14ac:dyDescent="0.25">
      <c r="A14" s="141" t="s">
        <v>0</v>
      </c>
      <c r="B14" s="141" t="s">
        <v>9</v>
      </c>
      <c r="C14" s="900" t="s">
        <v>1278</v>
      </c>
      <c r="D14" s="141" t="s">
        <v>123</v>
      </c>
      <c r="E14" s="141" t="s">
        <v>10</v>
      </c>
      <c r="F14" s="141" t="s">
        <v>15</v>
      </c>
      <c r="G14" s="141" t="s">
        <v>939</v>
      </c>
      <c r="H14" s="141" t="s">
        <v>347</v>
      </c>
      <c r="I14" s="141" t="s">
        <v>4</v>
      </c>
    </row>
    <row r="15" spans="1:11" s="123" customFormat="1" ht="11.25" x14ac:dyDescent="0.25">
      <c r="A15" s="246">
        <v>1</v>
      </c>
      <c r="B15" s="246">
        <v>2</v>
      </c>
      <c r="C15" s="246">
        <v>3</v>
      </c>
      <c r="D15" s="246">
        <v>4</v>
      </c>
      <c r="E15" s="246" t="s">
        <v>5</v>
      </c>
      <c r="F15" s="246">
        <v>6</v>
      </c>
      <c r="G15" s="246">
        <v>7</v>
      </c>
      <c r="H15" s="246" t="s">
        <v>12</v>
      </c>
      <c r="I15" s="246">
        <v>9</v>
      </c>
    </row>
    <row r="16" spans="1:11" x14ac:dyDescent="0.25">
      <c r="A16" s="1126" t="s">
        <v>16</v>
      </c>
      <c r="B16" s="1126"/>
      <c r="C16" s="1126"/>
      <c r="D16" s="1126"/>
      <c r="E16" s="1126"/>
      <c r="F16" s="1126"/>
      <c r="G16" s="1126"/>
      <c r="H16" s="1126"/>
      <c r="I16" s="1126"/>
    </row>
    <row r="17" spans="1:9" outlineLevel="1" x14ac:dyDescent="0.25">
      <c r="A17" s="168">
        <v>1</v>
      </c>
      <c r="B17" s="254"/>
      <c r="C17" s="255"/>
      <c r="D17" s="251"/>
      <c r="E17" s="169"/>
      <c r="F17" s="169">
        <v>1</v>
      </c>
      <c r="G17" s="171"/>
      <c r="H17" s="171">
        <f>ROUND((E17*G17/F17),2)</f>
        <v>0</v>
      </c>
      <c r="I17" s="1118"/>
    </row>
    <row r="18" spans="1:9" outlineLevel="1" x14ac:dyDescent="0.25">
      <c r="A18" s="168">
        <f>A17+1</f>
        <v>2</v>
      </c>
      <c r="B18" s="169"/>
      <c r="C18" s="170"/>
      <c r="D18" s="251"/>
      <c r="E18" s="169"/>
      <c r="F18" s="169"/>
      <c r="G18" s="171"/>
      <c r="H18" s="171">
        <f>IFERROR(E18*G18/F18,0)</f>
        <v>0</v>
      </c>
      <c r="I18" s="1103"/>
    </row>
    <row r="19" spans="1:9" x14ac:dyDescent="0.25">
      <c r="A19" s="1072" t="s">
        <v>17</v>
      </c>
      <c r="B19" s="1073"/>
      <c r="C19" s="1073"/>
      <c r="D19" s="1073"/>
      <c r="E19" s="1073"/>
      <c r="F19" s="1073"/>
      <c r="G19" s="1074"/>
      <c r="H19" s="253">
        <f>SUM(H17:H18)</f>
        <v>0</v>
      </c>
      <c r="I19" s="1104"/>
    </row>
    <row r="20" spans="1:9" x14ac:dyDescent="0.25">
      <c r="A20" s="1127" t="s">
        <v>18</v>
      </c>
      <c r="B20" s="1128"/>
      <c r="C20" s="1128"/>
      <c r="D20" s="1128"/>
      <c r="E20" s="1128"/>
      <c r="F20" s="1128"/>
      <c r="G20" s="1129"/>
      <c r="H20" s="498">
        <f>H19+H13+H7</f>
        <v>516.23790536897684</v>
      </c>
      <c r="I20" s="169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51181102362204722" right="0.31496062992125984" top="0.74803149606299213" bottom="0.55118110236220474" header="0.31496062992125984" footer="0.31496062992125984"/>
  <pageSetup paperSize="9" scale="8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555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76.5" x14ac:dyDescent="0.25">
      <c r="A6" s="256" t="str">
        <f>'Свод РЦВК 2020'!D28</f>
        <v xml:space="preserve">Проведение консультаций КФХ по проведению деятельности в части содействия в организации предпринимательской деятельности в сельском хозяйстве </v>
      </c>
      <c r="B6" s="205">
        <f>№24!H7</f>
        <v>516.23790536897684</v>
      </c>
      <c r="C6" s="205">
        <f>№24!H13</f>
        <v>0</v>
      </c>
      <c r="D6" s="205">
        <f>№24!H19</f>
        <v>0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1135.45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78" t="s">
        <v>556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46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№24!B6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(ЦК)'!N11</f>
        <v>50</v>
      </c>
      <c r="D6" s="881">
        <f>'Свод РЦВК 2020'!I29</f>
        <v>20</v>
      </c>
      <c r="E6" s="882">
        <f>C6/D6</f>
        <v>2.5</v>
      </c>
      <c r="F6" s="875">
        <f>№28!F6</f>
        <v>772.13910001199997</v>
      </c>
      <c r="G6" s="907">
        <f>№28!G6</f>
        <v>206.49516214759072</v>
      </c>
      <c r="H6" s="150">
        <f>E6*G6</f>
        <v>516.23790536897684</v>
      </c>
      <c r="I6" s="497" t="str">
        <f>№24!I6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53">
        <f>SUM(H6:H6)</f>
        <v>516.23790536897684</v>
      </c>
      <c r="I7" s="496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10324.758107379537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46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>
        <v>1</v>
      </c>
      <c r="B11" s="249"/>
      <c r="C11" s="148">
        <f>D11</f>
        <v>80</v>
      </c>
      <c r="D11" s="506">
        <f>D6+№24!D6</f>
        <v>80</v>
      </c>
      <c r="E11" s="43">
        <f>C11/D11</f>
        <v>1</v>
      </c>
      <c r="F11" s="169">
        <v>1</v>
      </c>
      <c r="G11" s="150"/>
      <c r="H11" s="44">
        <f>E11*G11/F11</f>
        <v>0</v>
      </c>
      <c r="I11" s="1118"/>
    </row>
    <row r="12" spans="1:11" outlineLevel="1" x14ac:dyDescent="0.25">
      <c r="A12" s="168"/>
      <c r="B12" s="249"/>
      <c r="C12" s="148"/>
      <c r="D12" s="44"/>
      <c r="E12" s="169"/>
      <c r="F12" s="169"/>
      <c r="G12" s="171"/>
      <c r="H12" s="171"/>
      <c r="I12" s="1103"/>
    </row>
    <row r="13" spans="1:11" x14ac:dyDescent="0.25">
      <c r="A13" s="1072" t="s">
        <v>14</v>
      </c>
      <c r="B13" s="1073"/>
      <c r="C13" s="1073"/>
      <c r="D13" s="1073"/>
      <c r="E13" s="1073"/>
      <c r="F13" s="1073"/>
      <c r="G13" s="1074"/>
      <c r="H13" s="248">
        <f>SUM(H11:H12)</f>
        <v>0</v>
      </c>
      <c r="I13" s="1104"/>
    </row>
    <row r="14" spans="1:11" s="123" customFormat="1" ht="67.5" x14ac:dyDescent="0.25">
      <c r="A14" s="141" t="s">
        <v>0</v>
      </c>
      <c r="B14" s="141" t="s">
        <v>9</v>
      </c>
      <c r="C14" s="900" t="s">
        <v>1278</v>
      </c>
      <c r="D14" s="141" t="s">
        <v>123</v>
      </c>
      <c r="E14" s="141" t="s">
        <v>10</v>
      </c>
      <c r="F14" s="141" t="s">
        <v>15</v>
      </c>
      <c r="G14" s="141" t="s">
        <v>939</v>
      </c>
      <c r="H14" s="141" t="s">
        <v>347</v>
      </c>
      <c r="I14" s="141" t="s">
        <v>4</v>
      </c>
    </row>
    <row r="15" spans="1:11" s="123" customFormat="1" ht="11.25" x14ac:dyDescent="0.25">
      <c r="A15" s="246">
        <v>1</v>
      </c>
      <c r="B15" s="246">
        <v>2</v>
      </c>
      <c r="C15" s="246">
        <v>3</v>
      </c>
      <c r="D15" s="246">
        <v>4</v>
      </c>
      <c r="E15" s="246" t="s">
        <v>5</v>
      </c>
      <c r="F15" s="246">
        <v>6</v>
      </c>
      <c r="G15" s="246">
        <v>7</v>
      </c>
      <c r="H15" s="246" t="s">
        <v>12</v>
      </c>
      <c r="I15" s="246">
        <v>9</v>
      </c>
    </row>
    <row r="16" spans="1:11" x14ac:dyDescent="0.25">
      <c r="A16" s="1126" t="s">
        <v>16</v>
      </c>
      <c r="B16" s="1126"/>
      <c r="C16" s="1126"/>
      <c r="D16" s="1126"/>
      <c r="E16" s="1126"/>
      <c r="F16" s="1126"/>
      <c r="G16" s="1126"/>
      <c r="H16" s="1126"/>
      <c r="I16" s="1126"/>
    </row>
    <row r="17" spans="1:9" outlineLevel="1" x14ac:dyDescent="0.25">
      <c r="A17" s="168">
        <v>1</v>
      </c>
      <c r="B17" s="254"/>
      <c r="C17" s="255"/>
      <c r="D17" s="251"/>
      <c r="E17" s="169"/>
      <c r="F17" s="169">
        <v>1</v>
      </c>
      <c r="G17" s="171"/>
      <c r="H17" s="171">
        <f>ROUND((E17*G17/F17),2)</f>
        <v>0</v>
      </c>
      <c r="I17" s="1118"/>
    </row>
    <row r="18" spans="1:9" outlineLevel="1" x14ac:dyDescent="0.25">
      <c r="A18" s="168">
        <f>A17+1</f>
        <v>2</v>
      </c>
      <c r="B18" s="169"/>
      <c r="C18" s="170"/>
      <c r="D18" s="251"/>
      <c r="E18" s="169"/>
      <c r="F18" s="169"/>
      <c r="G18" s="171"/>
      <c r="H18" s="171">
        <f>IFERROR(E18*G18/F18,0)</f>
        <v>0</v>
      </c>
      <c r="I18" s="1103"/>
    </row>
    <row r="19" spans="1:9" x14ac:dyDescent="0.25">
      <c r="A19" s="1072" t="s">
        <v>17</v>
      </c>
      <c r="B19" s="1073"/>
      <c r="C19" s="1073"/>
      <c r="D19" s="1073"/>
      <c r="E19" s="1073"/>
      <c r="F19" s="1073"/>
      <c r="G19" s="1074"/>
      <c r="H19" s="253">
        <f>SUM(H17:H18)</f>
        <v>0</v>
      </c>
      <c r="I19" s="1104"/>
    </row>
    <row r="20" spans="1:9" x14ac:dyDescent="0.25">
      <c r="A20" s="1127" t="s">
        <v>18</v>
      </c>
      <c r="B20" s="1128"/>
      <c r="C20" s="1128"/>
      <c r="D20" s="1128"/>
      <c r="E20" s="1128"/>
      <c r="F20" s="1128"/>
      <c r="G20" s="1129"/>
      <c r="H20" s="498">
        <f>H19+H13+H7</f>
        <v>516.23790536897684</v>
      </c>
      <c r="I20" s="169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557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89.25" x14ac:dyDescent="0.25">
      <c r="A6" s="256" t="str">
        <f>'Свод РЦВК 2020'!D29</f>
        <v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</v>
      </c>
      <c r="B6" s="205">
        <f>№25!H7</f>
        <v>516.23790536897684</v>
      </c>
      <c r="C6" s="205">
        <f>№25!H13</f>
        <v>0</v>
      </c>
      <c r="D6" s="205">
        <f>№25!H19</f>
        <v>0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1135.45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91"/>
  <sheetViews>
    <sheetView zoomScale="95" zoomScaleNormal="95" workbookViewId="0">
      <pane xSplit="3" ySplit="4" topLeftCell="D5" activePane="bottomRight" state="frozen"/>
      <selection activeCell="C6" sqref="C6"/>
      <selection pane="topRight" activeCell="C6" sqref="C6"/>
      <selection pane="bottomLeft" activeCell="C6" sqref="C6"/>
      <selection pane="bottomRight" activeCell="H41" sqref="H41"/>
    </sheetView>
  </sheetViews>
  <sheetFormatPr defaultColWidth="8.85546875" defaultRowHeight="12.75" outlineLevelRow="1" x14ac:dyDescent="0.25"/>
  <cols>
    <col min="1" max="1" width="7.5703125" style="18" customWidth="1"/>
    <col min="2" max="2" width="48" style="68" customWidth="1"/>
    <col min="3" max="3" width="13.28515625" style="18" customWidth="1"/>
    <col min="4" max="4" width="10.5703125" style="68" customWidth="1"/>
    <col min="5" max="5" width="14.7109375" style="68" customWidth="1"/>
    <col min="6" max="6" width="15.85546875" style="68" customWidth="1"/>
    <col min="7" max="7" width="10.140625" style="68" customWidth="1"/>
    <col min="8" max="8" width="11.140625" style="68" customWidth="1"/>
    <col min="9" max="9" width="19" style="68" customWidth="1"/>
    <col min="10" max="11" width="0" style="68" hidden="1" customWidth="1"/>
    <col min="12" max="16384" width="8.85546875" style="68"/>
  </cols>
  <sheetData>
    <row r="1" spans="1:11" ht="15.75" x14ac:dyDescent="0.25">
      <c r="A1" s="993" t="s">
        <v>60</v>
      </c>
      <c r="B1" s="993"/>
      <c r="C1" s="993"/>
      <c r="D1" s="993"/>
      <c r="E1" s="993"/>
      <c r="F1" s="993"/>
      <c r="G1" s="993"/>
      <c r="H1" s="993"/>
      <c r="I1" s="993"/>
    </row>
    <row r="2" spans="1:11" ht="3.75" customHeight="1" x14ac:dyDescent="0.25">
      <c r="B2" s="60"/>
      <c r="C2" s="6"/>
      <c r="D2" s="60"/>
      <c r="E2" s="60"/>
      <c r="F2" s="60"/>
      <c r="G2" s="60"/>
      <c r="H2" s="60"/>
    </row>
    <row r="3" spans="1:11" ht="76.5" x14ac:dyDescent="0.25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124</v>
      </c>
      <c r="F3" s="13" t="s">
        <v>65</v>
      </c>
      <c r="G3" s="13" t="s">
        <v>66</v>
      </c>
      <c r="H3" s="13" t="s">
        <v>67</v>
      </c>
      <c r="I3" s="13" t="s">
        <v>68</v>
      </c>
    </row>
    <row r="4" spans="1:11" x14ac:dyDescent="0.25">
      <c r="A4" s="14">
        <v>1</v>
      </c>
      <c r="B4" s="14">
        <v>1</v>
      </c>
      <c r="C4" s="14">
        <v>2</v>
      </c>
      <c r="D4" s="14">
        <v>3</v>
      </c>
      <c r="E4" s="14">
        <v>4</v>
      </c>
      <c r="F4" s="14" t="s">
        <v>125</v>
      </c>
      <c r="G4" s="14">
        <v>6</v>
      </c>
      <c r="H4" s="14" t="s">
        <v>133</v>
      </c>
      <c r="I4" s="13"/>
    </row>
    <row r="5" spans="1:11" ht="13.5" x14ac:dyDescent="0.25">
      <c r="A5" s="106" t="s">
        <v>69</v>
      </c>
      <c r="B5" s="64"/>
      <c r="C5" s="64"/>
      <c r="D5" s="64"/>
      <c r="E5" s="64"/>
      <c r="F5" s="64"/>
      <c r="G5" s="64"/>
      <c r="H5" s="64"/>
      <c r="I5" s="65"/>
    </row>
    <row r="6" spans="1:11" outlineLevel="1" x14ac:dyDescent="0.25">
      <c r="A6" s="14">
        <f>'ОХЗ (поГЗ)'!A6</f>
        <v>223</v>
      </c>
      <c r="B6" s="70" t="s">
        <v>127</v>
      </c>
      <c r="C6" s="15" t="s">
        <v>70</v>
      </c>
      <c r="D6" s="415">
        <f>E6*F6</f>
        <v>617291.33733295463</v>
      </c>
      <c r="E6" s="81">
        <f>'ОХЗ (поГЗ)'!E6</f>
        <v>274063</v>
      </c>
      <c r="F6" s="82">
        <f>H6/G6</f>
        <v>2.2523702117139295</v>
      </c>
      <c r="G6" s="66">
        <f>'ОХЗ (поГЗ)'!G6</f>
        <v>7.6908193987489986</v>
      </c>
      <c r="H6" s="83">
        <f>'ОХЗ (поГЗ)'!H6</f>
        <v>17.322572517413878</v>
      </c>
      <c r="I6" s="70"/>
    </row>
    <row r="7" spans="1:11" outlineLevel="1" x14ac:dyDescent="0.25">
      <c r="A7" s="14">
        <f>'ОХЗ (поГЗ)'!A7</f>
        <v>223</v>
      </c>
      <c r="B7" s="70" t="s">
        <v>71</v>
      </c>
      <c r="C7" s="15" t="s">
        <v>72</v>
      </c>
      <c r="D7" s="415">
        <f>E7*F7</f>
        <v>215.14675985754337</v>
      </c>
      <c r="E7" s="81">
        <f>$E$6</f>
        <v>274063</v>
      </c>
      <c r="F7" s="82">
        <f>H7/G7</f>
        <v>7.8502665393556724E-4</v>
      </c>
      <c r="G7" s="66">
        <f>'ОХЗ (поГЗ)'!G7</f>
        <v>4917.6757189397395</v>
      </c>
      <c r="H7" s="83">
        <f>'ОХЗ (поГЗ)'!H7</f>
        <v>3.8605065147794488</v>
      </c>
      <c r="I7" s="70"/>
    </row>
    <row r="8" spans="1:11" ht="15.75" outlineLevel="1" x14ac:dyDescent="0.25">
      <c r="A8" s="14">
        <f>'ОХЗ (поГЗ)'!A8</f>
        <v>223</v>
      </c>
      <c r="B8" s="70" t="s">
        <v>679</v>
      </c>
      <c r="C8" s="15" t="s">
        <v>73</v>
      </c>
      <c r="D8" s="415">
        <f>E8*F8</f>
        <v>1176.7810248626781</v>
      </c>
      <c r="E8" s="81">
        <f>$E$6</f>
        <v>274063</v>
      </c>
      <c r="F8" s="82">
        <f>H8/G8</f>
        <v>4.2938339902237012E-3</v>
      </c>
      <c r="G8" s="66">
        <f>'ОХЗ (поГЗ)'!G8</f>
        <v>47.958576428087603</v>
      </c>
      <c r="H8" s="83">
        <f>'ОХЗ (поГЗ)'!H8</f>
        <v>0.20592616558966373</v>
      </c>
      <c r="I8" s="70"/>
    </row>
    <row r="9" spans="1:11" outlineLevel="1" x14ac:dyDescent="0.25">
      <c r="A9" s="14">
        <f>'ОХЗ (поГЗ)'!A9</f>
        <v>223</v>
      </c>
      <c r="B9" s="420" t="s">
        <v>80</v>
      </c>
      <c r="C9" s="14" t="s">
        <v>132</v>
      </c>
      <c r="D9" s="15">
        <v>1</v>
      </c>
      <c r="E9" s="81">
        <f>$E$6</f>
        <v>274063</v>
      </c>
      <c r="F9" s="85">
        <f>D9*1000/E9</f>
        <v>3.6487960797334921E-3</v>
      </c>
      <c r="G9" s="66">
        <f>'ОХЗ (поГЗ)'!G9</f>
        <v>547.15</v>
      </c>
      <c r="H9" s="83">
        <f>Лист4!G9</f>
        <v>0.1756656184891795</v>
      </c>
      <c r="I9" s="420"/>
    </row>
    <row r="10" spans="1:11" ht="25.5" hidden="1" outlineLevel="1" x14ac:dyDescent="0.25">
      <c r="A10" s="14">
        <f>'ОХЗ (поГЗ)'!A10</f>
        <v>223</v>
      </c>
      <c r="B10" s="70" t="s">
        <v>128</v>
      </c>
      <c r="C10" s="15" t="s">
        <v>130</v>
      </c>
      <c r="D10" s="15">
        <v>12</v>
      </c>
      <c r="E10" s="81">
        <f>$E$6</f>
        <v>274063</v>
      </c>
      <c r="F10" s="82">
        <f>D10/E10</f>
        <v>4.3785552956801904E-5</v>
      </c>
      <c r="G10" s="66">
        <f>'ОХЗ (поГЗ)'!G10</f>
        <v>0</v>
      </c>
      <c r="H10" s="83">
        <f>'ОХЗ (поГЗ)'!H10</f>
        <v>0</v>
      </c>
      <c r="I10" s="67" t="s">
        <v>126</v>
      </c>
    </row>
    <row r="11" spans="1:11" ht="13.5" x14ac:dyDescent="0.25">
      <c r="A11" s="1006" t="s">
        <v>74</v>
      </c>
      <c r="B11" s="1007"/>
      <c r="C11" s="1007"/>
      <c r="D11" s="1007"/>
      <c r="E11" s="1007"/>
      <c r="F11" s="1007"/>
      <c r="G11" s="1007"/>
      <c r="H11" s="84">
        <f>SUM(H6:H10)</f>
        <v>21.564670816272169</v>
      </c>
      <c r="I11" s="70"/>
      <c r="J11" s="86">
        <f>'ОХЗ (поГЗ)'!H11</f>
        <v>21.564670816272169</v>
      </c>
      <c r="K11" s="86">
        <f>J11-H11</f>
        <v>0</v>
      </c>
    </row>
    <row r="12" spans="1:11" ht="13.5" x14ac:dyDescent="0.25">
      <c r="A12" s="61"/>
      <c r="B12" s="41"/>
      <c r="C12" s="104"/>
      <c r="D12" s="41"/>
      <c r="E12" s="41"/>
      <c r="F12" s="41"/>
      <c r="G12" s="41" t="s">
        <v>159</v>
      </c>
      <c r="H12" s="105">
        <f>H11*1000</f>
        <v>21564.67081627217</v>
      </c>
      <c r="I12" s="101"/>
    </row>
    <row r="13" spans="1:11" ht="13.5" x14ac:dyDescent="0.25">
      <c r="A13" s="1002" t="s">
        <v>75</v>
      </c>
      <c r="B13" s="1003"/>
      <c r="C13" s="1003"/>
      <c r="D13" s="1003"/>
      <c r="E13" s="1003"/>
      <c r="F13" s="1003"/>
      <c r="G13" s="1003"/>
      <c r="H13" s="1003"/>
      <c r="I13" s="1004"/>
    </row>
    <row r="14" spans="1:11" ht="38.25" outlineLevel="1" x14ac:dyDescent="0.25">
      <c r="A14" s="14">
        <v>225</v>
      </c>
      <c r="B14" s="67" t="s">
        <v>76</v>
      </c>
      <c r="C14" s="14" t="s">
        <v>132</v>
      </c>
      <c r="D14" s="15">
        <v>1</v>
      </c>
      <c r="E14" s="81">
        <f t="shared" ref="E14:E20" si="0">$E$6</f>
        <v>274063</v>
      </c>
      <c r="F14" s="85">
        <f t="shared" ref="F14:F20" si="1">D14*1000/E14</f>
        <v>3.6487960797334921E-3</v>
      </c>
      <c r="G14" s="66">
        <f t="shared" ref="G14:G20" si="2">H14/F14</f>
        <v>59.04</v>
      </c>
      <c r="H14" s="83">
        <f>'ОХЗ (поГЗ)'!H13</f>
        <v>0.21542492054746537</v>
      </c>
      <c r="I14" s="70"/>
    </row>
    <row r="15" spans="1:11" ht="25.5" outlineLevel="1" x14ac:dyDescent="0.25">
      <c r="A15" s="14">
        <v>225</v>
      </c>
      <c r="B15" s="67" t="s">
        <v>77</v>
      </c>
      <c r="C15" s="14" t="s">
        <v>132</v>
      </c>
      <c r="D15" s="15">
        <v>1</v>
      </c>
      <c r="E15" s="81">
        <f t="shared" si="0"/>
        <v>274063</v>
      </c>
      <c r="F15" s="85">
        <f t="shared" si="1"/>
        <v>3.6487960797334921E-3</v>
      </c>
      <c r="G15" s="66">
        <f t="shared" si="2"/>
        <v>28.207999999999998</v>
      </c>
      <c r="H15" s="83">
        <f>'ОХЗ (поГЗ)'!H14</f>
        <v>0.10292523981712234</v>
      </c>
      <c r="I15" s="70"/>
    </row>
    <row r="16" spans="1:11" outlineLevel="1" x14ac:dyDescent="0.25">
      <c r="A16" s="14">
        <v>225</v>
      </c>
      <c r="B16" s="67" t="s">
        <v>78</v>
      </c>
      <c r="C16" s="14" t="s">
        <v>132</v>
      </c>
      <c r="D16" s="15">
        <v>1</v>
      </c>
      <c r="E16" s="81">
        <f t="shared" si="0"/>
        <v>274063</v>
      </c>
      <c r="F16" s="85">
        <f t="shared" si="1"/>
        <v>3.6487960797334921E-3</v>
      </c>
      <c r="G16" s="66">
        <f t="shared" si="2"/>
        <v>131.19999999999999</v>
      </c>
      <c r="H16" s="83">
        <f>'ОХЗ (поГЗ)'!H15</f>
        <v>0.47872204566103416</v>
      </c>
      <c r="I16" s="70"/>
    </row>
    <row r="17" spans="1:11" outlineLevel="1" x14ac:dyDescent="0.25">
      <c r="A17" s="14">
        <v>225</v>
      </c>
      <c r="B17" s="67" t="s">
        <v>79</v>
      </c>
      <c r="C17" s="14" t="s">
        <v>132</v>
      </c>
      <c r="D17" s="19">
        <v>3</v>
      </c>
      <c r="E17" s="81">
        <f t="shared" si="0"/>
        <v>274063</v>
      </c>
      <c r="F17" s="85">
        <f t="shared" si="1"/>
        <v>1.0946388239200475E-2</v>
      </c>
      <c r="G17" s="66">
        <f t="shared" si="2"/>
        <v>13.163733333333335</v>
      </c>
      <c r="H17" s="83">
        <f>'ОХЗ (поГЗ)'!H16</f>
        <v>0.14409533574397129</v>
      </c>
      <c r="I17" s="70"/>
    </row>
    <row r="18" spans="1:11" outlineLevel="1" x14ac:dyDescent="0.25">
      <c r="A18" s="14" t="s">
        <v>129</v>
      </c>
      <c r="B18" s="67" t="s">
        <v>131</v>
      </c>
      <c r="C18" s="14" t="s">
        <v>132</v>
      </c>
      <c r="D18" s="19">
        <v>1</v>
      </c>
      <c r="E18" s="81">
        <f t="shared" si="0"/>
        <v>274063</v>
      </c>
      <c r="F18" s="85">
        <f t="shared" si="1"/>
        <v>3.6487960797334921E-3</v>
      </c>
      <c r="G18" s="66">
        <f t="shared" si="2"/>
        <v>2968.9267024000005</v>
      </c>
      <c r="H18" s="83">
        <f>'ОХЗ (поГЗ)'!H17</f>
        <v>10.833008112733205</v>
      </c>
      <c r="I18" s="70"/>
    </row>
    <row r="19" spans="1:11" outlineLevel="1" x14ac:dyDescent="0.25">
      <c r="A19" s="14">
        <v>226</v>
      </c>
      <c r="B19" s="67" t="s">
        <v>81</v>
      </c>
      <c r="C19" s="14" t="s">
        <v>132</v>
      </c>
      <c r="D19" s="15">
        <v>1</v>
      </c>
      <c r="E19" s="81">
        <f t="shared" si="0"/>
        <v>274063</v>
      </c>
      <c r="F19" s="85">
        <f t="shared" si="1"/>
        <v>3.6487960797334921E-3</v>
      </c>
      <c r="G19" s="66">
        <f t="shared" si="2"/>
        <v>471.02975400960003</v>
      </c>
      <c r="H19" s="83">
        <f>'ОХЗ (поГЗ)'!H18</f>
        <v>1.7186915198680597</v>
      </c>
      <c r="I19" s="70"/>
    </row>
    <row r="20" spans="1:11" outlineLevel="1" x14ac:dyDescent="0.25">
      <c r="A20" s="14">
        <v>340</v>
      </c>
      <c r="B20" s="67" t="s">
        <v>137</v>
      </c>
      <c r="C20" s="14" t="s">
        <v>132</v>
      </c>
      <c r="D20" s="15">
        <v>1</v>
      </c>
      <c r="E20" s="81">
        <f t="shared" si="0"/>
        <v>274063</v>
      </c>
      <c r="F20" s="85">
        <f t="shared" si="1"/>
        <v>3.6487960797334921E-3</v>
      </c>
      <c r="G20" s="66">
        <f t="shared" si="2"/>
        <v>2.2959999999999998</v>
      </c>
      <c r="H20" s="83">
        <f>'ОХЗ (поГЗ)'!H19</f>
        <v>8.3776357990680977E-3</v>
      </c>
      <c r="I20" s="70"/>
    </row>
    <row r="21" spans="1:11" ht="13.5" x14ac:dyDescent="0.25">
      <c r="A21" s="1006" t="s">
        <v>74</v>
      </c>
      <c r="B21" s="1007"/>
      <c r="C21" s="1007"/>
      <c r="D21" s="1007"/>
      <c r="E21" s="1007"/>
      <c r="F21" s="1007"/>
      <c r="G21" s="1007"/>
      <c r="H21" s="84">
        <f>SUM(H14:H20)</f>
        <v>13.501244810169926</v>
      </c>
      <c r="I21" s="70"/>
      <c r="J21" s="86">
        <f>'ОХЗ (поГЗ)'!H20</f>
        <v>13.501244810169926</v>
      </c>
      <c r="K21" s="86">
        <f>J21-H21</f>
        <v>0</v>
      </c>
    </row>
    <row r="22" spans="1:11" ht="13.5" x14ac:dyDescent="0.25">
      <c r="A22" s="61"/>
      <c r="B22" s="41"/>
      <c r="C22" s="104"/>
      <c r="D22" s="41"/>
      <c r="E22" s="41"/>
      <c r="F22" s="41"/>
      <c r="G22" s="41" t="s">
        <v>159</v>
      </c>
      <c r="H22" s="105">
        <f>H21*1000</f>
        <v>13501.244810169926</v>
      </c>
      <c r="I22" s="101"/>
    </row>
    <row r="23" spans="1:11" ht="13.5" x14ac:dyDescent="0.25">
      <c r="A23" s="1002" t="s">
        <v>82</v>
      </c>
      <c r="B23" s="1003"/>
      <c r="C23" s="1003"/>
      <c r="D23" s="1003"/>
      <c r="E23" s="1003"/>
      <c r="F23" s="1003"/>
      <c r="G23" s="1003"/>
      <c r="H23" s="1003"/>
      <c r="I23" s="1004"/>
    </row>
    <row r="24" spans="1:11" outlineLevel="1" x14ac:dyDescent="0.25">
      <c r="A24" s="14">
        <v>226</v>
      </c>
      <c r="B24" s="67" t="s">
        <v>85</v>
      </c>
      <c r="C24" s="14" t="s">
        <v>132</v>
      </c>
      <c r="D24" s="15">
        <v>1</v>
      </c>
      <c r="E24" s="81">
        <f t="shared" ref="E24:E31" si="3">$E$6</f>
        <v>274063</v>
      </c>
      <c r="F24" s="85">
        <f t="shared" ref="F24:F31" si="4">D24*1000/E24</f>
        <v>3.6487960797334921E-3</v>
      </c>
      <c r="G24" s="66">
        <f t="shared" ref="G24:G31" si="5">H24/F24</f>
        <v>473.26201599999996</v>
      </c>
      <c r="H24" s="83">
        <f>'ОХЗ (поГЗ)'!H22</f>
        <v>1.7268365886675692</v>
      </c>
      <c r="I24" s="70"/>
    </row>
    <row r="25" spans="1:11" outlineLevel="1" x14ac:dyDescent="0.25">
      <c r="A25" s="14">
        <v>225</v>
      </c>
      <c r="B25" s="67" t="s">
        <v>134</v>
      </c>
      <c r="C25" s="14" t="s">
        <v>132</v>
      </c>
      <c r="D25" s="15">
        <v>1</v>
      </c>
      <c r="E25" s="81">
        <f t="shared" si="3"/>
        <v>274063</v>
      </c>
      <c r="F25" s="85">
        <f t="shared" si="4"/>
        <v>3.6487960797334921E-3</v>
      </c>
      <c r="G25" s="66">
        <f t="shared" si="5"/>
        <v>85.28</v>
      </c>
      <c r="H25" s="83">
        <f>'ОХЗ (поГЗ)'!H23</f>
        <v>0.3111693296796722</v>
      </c>
      <c r="I25" s="70"/>
    </row>
    <row r="26" spans="1:11" outlineLevel="1" x14ac:dyDescent="0.25">
      <c r="A26" s="14">
        <v>225</v>
      </c>
      <c r="B26" s="67" t="s">
        <v>135</v>
      </c>
      <c r="C26" s="14" t="s">
        <v>132</v>
      </c>
      <c r="D26" s="15">
        <v>1</v>
      </c>
      <c r="E26" s="81">
        <f t="shared" si="3"/>
        <v>274063</v>
      </c>
      <c r="F26" s="85">
        <f t="shared" si="4"/>
        <v>3.6487960797334921E-3</v>
      </c>
      <c r="G26" s="66">
        <f t="shared" si="5"/>
        <v>39.36</v>
      </c>
      <c r="H26" s="83">
        <f>'ОХЗ (поГЗ)'!H24</f>
        <v>0.14361661369831025</v>
      </c>
      <c r="I26" s="70"/>
    </row>
    <row r="27" spans="1:11" outlineLevel="1" x14ac:dyDescent="0.25">
      <c r="A27" s="14">
        <v>340</v>
      </c>
      <c r="B27" s="67" t="s">
        <v>83</v>
      </c>
      <c r="C27" s="14" t="s">
        <v>132</v>
      </c>
      <c r="D27" s="15">
        <v>1</v>
      </c>
      <c r="E27" s="81">
        <f t="shared" si="3"/>
        <v>274063</v>
      </c>
      <c r="F27" s="85">
        <f t="shared" si="4"/>
        <v>3.6487960797334921E-3</v>
      </c>
      <c r="G27" s="66">
        <f t="shared" si="5"/>
        <v>1377.6</v>
      </c>
      <c r="H27" s="83">
        <f>'ОХЗ (поГЗ)'!H25</f>
        <v>5.0265814794408588</v>
      </c>
      <c r="I27" s="70"/>
    </row>
    <row r="28" spans="1:11" outlineLevel="1" x14ac:dyDescent="0.25">
      <c r="A28" s="14">
        <v>226</v>
      </c>
      <c r="B28" s="67" t="s">
        <v>84</v>
      </c>
      <c r="C28" s="14" t="s">
        <v>132</v>
      </c>
      <c r="D28" s="15">
        <v>1</v>
      </c>
      <c r="E28" s="81">
        <f t="shared" si="3"/>
        <v>274063</v>
      </c>
      <c r="F28" s="85">
        <f t="shared" si="4"/>
        <v>3.6487960797334921E-3</v>
      </c>
      <c r="G28" s="66">
        <f t="shared" si="5"/>
        <v>304.73759397120006</v>
      </c>
      <c r="H28" s="83">
        <f>'ОХЗ (поГЗ)'!H26</f>
        <v>1.1119253382295313</v>
      </c>
      <c r="I28" s="70"/>
    </row>
    <row r="29" spans="1:11" outlineLevel="1" x14ac:dyDescent="0.25">
      <c r="A29" s="14">
        <v>226</v>
      </c>
      <c r="B29" s="67" t="s">
        <v>136</v>
      </c>
      <c r="C29" s="14" t="s">
        <v>132</v>
      </c>
      <c r="D29" s="15">
        <v>3</v>
      </c>
      <c r="E29" s="81">
        <f t="shared" si="3"/>
        <v>274063</v>
      </c>
      <c r="F29" s="85">
        <f t="shared" si="4"/>
        <v>1.0946388239200475E-2</v>
      </c>
      <c r="G29" s="66">
        <f t="shared" si="5"/>
        <v>2.9520000000000004</v>
      </c>
      <c r="H29" s="83">
        <f>'ОХЗ (поГЗ)'!H27</f>
        <v>3.2313738082119806E-2</v>
      </c>
      <c r="I29" s="70"/>
    </row>
    <row r="30" spans="1:11" outlineLevel="1" x14ac:dyDescent="0.25">
      <c r="A30" s="14">
        <v>340</v>
      </c>
      <c r="B30" s="67" t="s">
        <v>86</v>
      </c>
      <c r="C30" s="14" t="s">
        <v>132</v>
      </c>
      <c r="D30" s="15">
        <v>1</v>
      </c>
      <c r="E30" s="81">
        <f t="shared" si="3"/>
        <v>274063</v>
      </c>
      <c r="F30" s="85">
        <f t="shared" si="4"/>
        <v>3.6487960797334921E-3</v>
      </c>
      <c r="G30" s="66">
        <f t="shared" si="5"/>
        <v>259.77600000000001</v>
      </c>
      <c r="H30" s="83">
        <f>'ОХЗ (поГЗ)'!H28</f>
        <v>0.94786965040884763</v>
      </c>
      <c r="I30" s="70"/>
    </row>
    <row r="31" spans="1:11" ht="25.5" outlineLevel="1" x14ac:dyDescent="0.25">
      <c r="A31" s="14">
        <v>225</v>
      </c>
      <c r="B31" s="67" t="s">
        <v>87</v>
      </c>
      <c r="C31" s="14" t="s">
        <v>132</v>
      </c>
      <c r="D31" s="15">
        <v>1</v>
      </c>
      <c r="E31" s="81">
        <f t="shared" si="3"/>
        <v>274063</v>
      </c>
      <c r="F31" s="85">
        <f t="shared" si="4"/>
        <v>3.6487960797334921E-3</v>
      </c>
      <c r="G31" s="66">
        <f t="shared" si="5"/>
        <v>0</v>
      </c>
      <c r="H31" s="83">
        <f>'ОХЗ (поГЗ)'!H29</f>
        <v>0</v>
      </c>
      <c r="I31" s="70"/>
    </row>
    <row r="32" spans="1:11" ht="13.5" x14ac:dyDescent="0.25">
      <c r="A32" s="1006" t="s">
        <v>74</v>
      </c>
      <c r="B32" s="1007"/>
      <c r="C32" s="1007"/>
      <c r="D32" s="1007"/>
      <c r="E32" s="1007"/>
      <c r="F32" s="1007"/>
      <c r="G32" s="1007"/>
      <c r="H32" s="84">
        <f>SUM(H24:H31)</f>
        <v>9.3003127382069088</v>
      </c>
      <c r="I32" s="70"/>
      <c r="J32" s="86">
        <f>'ОХЗ (поГЗ)'!H30</f>
        <v>9.3003127382069088</v>
      </c>
      <c r="K32" s="86">
        <f>J32-H32</f>
        <v>0</v>
      </c>
    </row>
    <row r="33" spans="1:11" ht="13.5" x14ac:dyDescent="0.25">
      <c r="A33" s="61"/>
      <c r="B33" s="41"/>
      <c r="C33" s="104"/>
      <c r="D33" s="41"/>
      <c r="E33" s="41"/>
      <c r="F33" s="41"/>
      <c r="G33" s="41" t="s">
        <v>159</v>
      </c>
      <c r="H33" s="105">
        <f>H32*1000</f>
        <v>9300.3127382069088</v>
      </c>
      <c r="I33" s="101"/>
    </row>
    <row r="34" spans="1:11" ht="13.5" x14ac:dyDescent="0.25">
      <c r="A34" s="1002" t="s">
        <v>88</v>
      </c>
      <c r="B34" s="1003"/>
      <c r="C34" s="1003"/>
      <c r="D34" s="1003"/>
      <c r="E34" s="1003"/>
      <c r="F34" s="1003"/>
      <c r="G34" s="1003"/>
      <c r="H34" s="1003"/>
      <c r="I34" s="1004"/>
    </row>
    <row r="35" spans="1:11" outlineLevel="1" x14ac:dyDescent="0.25">
      <c r="A35" s="14">
        <v>221</v>
      </c>
      <c r="B35" s="67" t="s">
        <v>89</v>
      </c>
      <c r="C35" s="14" t="s">
        <v>132</v>
      </c>
      <c r="D35" s="15">
        <v>1</v>
      </c>
      <c r="E35" s="81">
        <f>$E$6</f>
        <v>274063</v>
      </c>
      <c r="F35" s="85">
        <f>D35*1000/E35</f>
        <v>3.6487960797334921E-3</v>
      </c>
      <c r="G35" s="66">
        <f>H35/F35</f>
        <v>209.42536944</v>
      </c>
      <c r="H35" s="83">
        <f>'ОХЗ (поГЗ)'!H32</f>
        <v>0.76415046700941025</v>
      </c>
      <c r="I35" s="70"/>
    </row>
    <row r="36" spans="1:11" outlineLevel="1" x14ac:dyDescent="0.25">
      <c r="A36" s="14">
        <v>221</v>
      </c>
      <c r="B36" s="67" t="s">
        <v>90</v>
      </c>
      <c r="C36" s="14" t="s">
        <v>132</v>
      </c>
      <c r="D36" s="15">
        <v>1</v>
      </c>
      <c r="E36" s="81">
        <f>$E$6</f>
        <v>274063</v>
      </c>
      <c r="F36" s="85">
        <f>D36*1000/E36</f>
        <v>3.6487960797334921E-3</v>
      </c>
      <c r="G36" s="66">
        <f>H36/F36</f>
        <v>159.73599999999999</v>
      </c>
      <c r="H36" s="83">
        <f>'ОХЗ (поГЗ)'!H33</f>
        <v>0.58284409059230902</v>
      </c>
      <c r="I36" s="70"/>
    </row>
    <row r="37" spans="1:11" outlineLevel="1" x14ac:dyDescent="0.25">
      <c r="A37" s="14">
        <v>221</v>
      </c>
      <c r="B37" s="67" t="s">
        <v>91</v>
      </c>
      <c r="C37" s="14" t="s">
        <v>132</v>
      </c>
      <c r="D37" s="15">
        <v>1</v>
      </c>
      <c r="E37" s="81">
        <f>$E$6</f>
        <v>274063</v>
      </c>
      <c r="F37" s="85">
        <f>D37*1000/E37</f>
        <v>3.6487960797334921E-3</v>
      </c>
      <c r="G37" s="66">
        <f>H37/F37</f>
        <v>374.18890751999993</v>
      </c>
      <c r="H37" s="83">
        <f>'ОХЗ (поГЗ)'!H34</f>
        <v>1.365339018838734</v>
      </c>
      <c r="I37" s="70"/>
    </row>
    <row r="38" spans="1:11" outlineLevel="1" x14ac:dyDescent="0.25">
      <c r="A38" s="87">
        <v>221</v>
      </c>
      <c r="B38" s="67" t="s">
        <v>138</v>
      </c>
      <c r="C38" s="14" t="s">
        <v>132</v>
      </c>
      <c r="D38" s="15">
        <v>1</v>
      </c>
      <c r="E38" s="81">
        <f>$E$6</f>
        <v>274063</v>
      </c>
      <c r="F38" s="85">
        <f>D38*1000/E38</f>
        <v>3.6487960797334921E-3</v>
      </c>
      <c r="G38" s="66">
        <f>H38/F38</f>
        <v>2.6492756800000001</v>
      </c>
      <c r="H38" s="83">
        <f>'ОХЗ (поГЗ)'!H35</f>
        <v>9.6666667153172819E-3</v>
      </c>
      <c r="I38" s="70"/>
    </row>
    <row r="39" spans="1:11" outlineLevel="1" x14ac:dyDescent="0.25">
      <c r="A39" s="87">
        <v>221</v>
      </c>
      <c r="B39" s="67" t="s">
        <v>138</v>
      </c>
      <c r="C39" s="14" t="s">
        <v>132</v>
      </c>
      <c r="D39" s="15">
        <v>1</v>
      </c>
      <c r="E39" s="81">
        <f>$E$6</f>
        <v>274063</v>
      </c>
      <c r="F39" s="85">
        <f>D39*1000/E39</f>
        <v>3.6487960797334921E-3</v>
      </c>
      <c r="G39" s="66">
        <f>H39/F39</f>
        <v>181.22821968000002</v>
      </c>
      <c r="H39" s="83">
        <f>'ОХЗ (поГЗ)'!H36</f>
        <v>0.66126481750546418</v>
      </c>
      <c r="I39" s="70"/>
    </row>
    <row r="40" spans="1:11" ht="13.5" x14ac:dyDescent="0.25">
      <c r="A40" s="1006" t="s">
        <v>74</v>
      </c>
      <c r="B40" s="1007"/>
      <c r="C40" s="1007"/>
      <c r="D40" s="1007"/>
      <c r="E40" s="1007"/>
      <c r="F40" s="1007"/>
      <c r="G40" s="1007"/>
      <c r="H40" s="84">
        <f>SUM(H35:H39)</f>
        <v>3.3832650606612349</v>
      </c>
      <c r="I40" s="70"/>
      <c r="J40" s="86">
        <f>'ОХЗ (поГЗ)'!H37</f>
        <v>3.3832650606612349</v>
      </c>
      <c r="K40" s="86">
        <f>J40-H40</f>
        <v>0</v>
      </c>
    </row>
    <row r="41" spans="1:11" ht="13.5" x14ac:dyDescent="0.25">
      <c r="A41" s="61"/>
      <c r="B41" s="41"/>
      <c r="C41" s="104"/>
      <c r="D41" s="41"/>
      <c r="E41" s="41"/>
      <c r="F41" s="41"/>
      <c r="G41" s="41" t="s">
        <v>159</v>
      </c>
      <c r="H41" s="105">
        <f>H40*1000</f>
        <v>3383.2650606612351</v>
      </c>
      <c r="I41" s="101"/>
    </row>
    <row r="42" spans="1:11" ht="13.5" x14ac:dyDescent="0.25">
      <c r="A42" s="1002" t="s">
        <v>92</v>
      </c>
      <c r="B42" s="1003"/>
      <c r="C42" s="1003"/>
      <c r="D42" s="1003"/>
      <c r="E42" s="1003"/>
      <c r="F42" s="1003"/>
      <c r="G42" s="1003"/>
      <c r="H42" s="1003"/>
      <c r="I42" s="1004"/>
    </row>
    <row r="43" spans="1:11" ht="25.5" outlineLevel="1" x14ac:dyDescent="0.25">
      <c r="A43" s="14">
        <v>222</v>
      </c>
      <c r="B43" s="67" t="s">
        <v>93</v>
      </c>
      <c r="C43" s="14" t="s">
        <v>132</v>
      </c>
      <c r="D43" s="15">
        <v>1</v>
      </c>
      <c r="E43" s="88">
        <f>$E$6</f>
        <v>274063</v>
      </c>
      <c r="F43" s="85">
        <f>D43*1000/E43</f>
        <v>3.6487960797334921E-3</v>
      </c>
      <c r="G43" s="66">
        <f>H43/F43</f>
        <v>3.5757772800000001</v>
      </c>
      <c r="H43" s="83">
        <f>'ОХЗ (поГЗ)'!H39</f>
        <v>1.3047282121264089E-2</v>
      </c>
      <c r="I43" s="70"/>
    </row>
    <row r="44" spans="1:11" ht="25.5" outlineLevel="1" x14ac:dyDescent="0.25">
      <c r="A44" s="14">
        <v>222</v>
      </c>
      <c r="B44" s="67" t="s">
        <v>94</v>
      </c>
      <c r="C44" s="14" t="s">
        <v>132</v>
      </c>
      <c r="D44" s="19">
        <v>1</v>
      </c>
      <c r="E44" s="88">
        <f>$E$6</f>
        <v>274063</v>
      </c>
      <c r="F44" s="85">
        <f>D44*1000/E44</f>
        <v>3.6487960797334921E-3</v>
      </c>
      <c r="G44" s="66">
        <f>H44/F44</f>
        <v>0</v>
      </c>
      <c r="H44" s="83">
        <f>'ОХЗ (поГЗ)'!H40</f>
        <v>0</v>
      </c>
      <c r="I44" s="70"/>
    </row>
    <row r="45" spans="1:11" ht="13.5" x14ac:dyDescent="0.25">
      <c r="A45" s="1006" t="s">
        <v>74</v>
      </c>
      <c r="B45" s="1007"/>
      <c r="C45" s="1007"/>
      <c r="D45" s="1007"/>
      <c r="E45" s="1007"/>
      <c r="F45" s="1007"/>
      <c r="G45" s="1007"/>
      <c r="H45" s="84">
        <f>SUM(H43:H44)</f>
        <v>1.3047282121264089E-2</v>
      </c>
      <c r="I45" s="70"/>
      <c r="J45" s="86">
        <f>'ОХЗ (поГЗ)'!H41</f>
        <v>1.3047282121264089E-2</v>
      </c>
      <c r="K45" s="86">
        <f>J45-H45</f>
        <v>0</v>
      </c>
    </row>
    <row r="46" spans="1:11" ht="13.5" x14ac:dyDescent="0.25">
      <c r="A46" s="61"/>
      <c r="B46" s="41"/>
      <c r="C46" s="104"/>
      <c r="D46" s="41"/>
      <c r="E46" s="41"/>
      <c r="F46" s="41"/>
      <c r="G46" s="41" t="s">
        <v>159</v>
      </c>
      <c r="H46" s="105">
        <f>H45*1000</f>
        <v>13.047282121264089</v>
      </c>
      <c r="I46" s="101"/>
    </row>
    <row r="47" spans="1:11" ht="13.5" x14ac:dyDescent="0.25">
      <c r="A47" s="1008" t="s">
        <v>95</v>
      </c>
      <c r="B47" s="1009"/>
      <c r="C47" s="1009"/>
      <c r="D47" s="1009"/>
      <c r="E47" s="1009"/>
      <c r="F47" s="1009"/>
      <c r="G47" s="1009"/>
      <c r="H47" s="1009"/>
      <c r="I47" s="1010"/>
    </row>
    <row r="48" spans="1:11" outlineLevel="1" x14ac:dyDescent="0.25">
      <c r="A48" s="14" t="str">
        <f>'ОХЗ (поГЗ)'!A43</f>
        <v>211, 213</v>
      </c>
      <c r="B48" s="67" t="s">
        <v>139</v>
      </c>
      <c r="C48" s="14" t="s">
        <v>132</v>
      </c>
      <c r="D48" s="16">
        <v>1</v>
      </c>
      <c r="E48" s="81">
        <f t="shared" ref="E48:E52" si="6">$E$6</f>
        <v>274063</v>
      </c>
      <c r="F48" s="85">
        <f>D48*1000/E48</f>
        <v>3.6487960797334921E-3</v>
      </c>
      <c r="G48" s="66">
        <f>H48/F48</f>
        <v>1698.8392516020463</v>
      </c>
      <c r="H48" s="83">
        <f>'ОХЗ (поГЗ)'!H43</f>
        <v>6.1987180013429262</v>
      </c>
      <c r="I48" s="78"/>
    </row>
    <row r="49" spans="1:11" ht="25.5" outlineLevel="1" x14ac:dyDescent="0.25">
      <c r="A49" s="14" t="str">
        <f>'ОХЗ (поГЗ)'!A44</f>
        <v>211, 213</v>
      </c>
      <c r="B49" s="67" t="s">
        <v>140</v>
      </c>
      <c r="C49" s="14" t="s">
        <v>132</v>
      </c>
      <c r="D49" s="17">
        <v>1</v>
      </c>
      <c r="E49" s="81">
        <f t="shared" si="6"/>
        <v>274063</v>
      </c>
      <c r="F49" s="85">
        <f>D49*1000/E49</f>
        <v>3.6487960797334921E-3</v>
      </c>
      <c r="G49" s="66">
        <f>H49/F49</f>
        <v>4583.8813123399977</v>
      </c>
      <c r="H49" s="83">
        <f>'ОХЗ (поГЗ)'!H44</f>
        <v>16.725648162429799</v>
      </c>
      <c r="I49" s="78"/>
    </row>
    <row r="50" spans="1:11" outlineLevel="1" x14ac:dyDescent="0.25">
      <c r="A50" s="14" t="str">
        <f>'ОХЗ (поГЗ)'!A45</f>
        <v>211, 213</v>
      </c>
      <c r="B50" s="67" t="s">
        <v>157</v>
      </c>
      <c r="C50" s="14" t="s">
        <v>132</v>
      </c>
      <c r="D50" s="17">
        <v>1</v>
      </c>
      <c r="E50" s="81">
        <f t="shared" si="6"/>
        <v>274063</v>
      </c>
      <c r="F50" s="85">
        <f>D50*1000/E50</f>
        <v>3.6487960797334921E-3</v>
      </c>
      <c r="G50" s="66">
        <f>H50/F50</f>
        <v>13029.204363023717</v>
      </c>
      <c r="H50" s="83">
        <f>'ОХЗ (поГЗ)'!H45</f>
        <v>47.540909801847448</v>
      </c>
      <c r="I50" s="78"/>
    </row>
    <row r="51" spans="1:11" ht="25.5" outlineLevel="1" x14ac:dyDescent="0.25">
      <c r="A51" s="14" t="str">
        <f>'ОХЗ (поГЗ)'!A46</f>
        <v>211, 213</v>
      </c>
      <c r="B51" s="67" t="s">
        <v>141</v>
      </c>
      <c r="C51" s="14" t="s">
        <v>132</v>
      </c>
      <c r="D51" s="17">
        <v>1</v>
      </c>
      <c r="E51" s="81">
        <f t="shared" si="6"/>
        <v>274063</v>
      </c>
      <c r="F51" s="85">
        <f>D51*1000/E51</f>
        <v>3.6487960797334921E-3</v>
      </c>
      <c r="G51" s="66">
        <f>H51/F51</f>
        <v>5447.4949135224961</v>
      </c>
      <c r="H51" s="83">
        <f>'ОХЗ (поГЗ)'!H46</f>
        <v>19.876798084829023</v>
      </c>
      <c r="I51" s="78"/>
    </row>
    <row r="52" spans="1:11" x14ac:dyDescent="0.25">
      <c r="A52" s="90"/>
      <c r="B52" s="7"/>
      <c r="C52" s="79"/>
      <c r="D52" s="17"/>
      <c r="E52" s="81">
        <f t="shared" si="6"/>
        <v>274063</v>
      </c>
      <c r="F52" s="91"/>
      <c r="G52" s="89"/>
      <c r="H52" s="83">
        <f>ROUND((G52*F52),2)</f>
        <v>0</v>
      </c>
      <c r="I52" s="78"/>
    </row>
    <row r="53" spans="1:11" ht="13.5" x14ac:dyDescent="0.25">
      <c r="A53" s="1006" t="s">
        <v>74</v>
      </c>
      <c r="B53" s="1007"/>
      <c r="C53" s="1007"/>
      <c r="D53" s="1007"/>
      <c r="E53" s="1007"/>
      <c r="F53" s="1007"/>
      <c r="G53" s="1007"/>
      <c r="H53" s="92">
        <f>SUM(H48:H52)</f>
        <v>90.342074050449199</v>
      </c>
      <c r="I53" s="78"/>
      <c r="J53" s="86">
        <f>'ОХЗ (поГЗ)'!H47</f>
        <v>90.342074050449199</v>
      </c>
      <c r="K53" s="86">
        <f>J53-H53</f>
        <v>0</v>
      </c>
    </row>
    <row r="54" spans="1:11" ht="13.5" x14ac:dyDescent="0.25">
      <c r="A54" s="61"/>
      <c r="B54" s="41"/>
      <c r="C54" s="104"/>
      <c r="D54" s="41"/>
      <c r="E54" s="41"/>
      <c r="F54" s="41"/>
      <c r="G54" s="41" t="s">
        <v>159</v>
      </c>
      <c r="H54" s="105">
        <f>H53*1000</f>
        <v>90342.074050449199</v>
      </c>
      <c r="I54" s="101"/>
    </row>
    <row r="55" spans="1:11" ht="13.5" x14ac:dyDescent="0.25">
      <c r="A55" s="1002" t="s">
        <v>96</v>
      </c>
      <c r="B55" s="1003"/>
      <c r="C55" s="1003"/>
      <c r="D55" s="1003"/>
      <c r="E55" s="1003"/>
      <c r="F55" s="1003"/>
      <c r="G55" s="1003"/>
      <c r="H55" s="1003"/>
      <c r="I55" s="1004"/>
    </row>
    <row r="56" spans="1:11" outlineLevel="1" x14ac:dyDescent="0.25">
      <c r="A56" s="79">
        <f>'ОХЗ (поГЗ)'!A49</f>
        <v>225</v>
      </c>
      <c r="B56" s="67" t="str">
        <f>'ОХЗ (поГЗ)'!B49</f>
        <v>Ремонт офисной техники</v>
      </c>
      <c r="C56" s="14" t="s">
        <v>132</v>
      </c>
      <c r="D56" s="93">
        <v>1</v>
      </c>
      <c r="E56" s="81">
        <f t="shared" ref="E56:E75" si="7">$E$6</f>
        <v>274063</v>
      </c>
      <c r="F56" s="85">
        <f>D56*1000/E56</f>
        <v>3.6487960797334921E-3</v>
      </c>
      <c r="G56" s="66">
        <f t="shared" ref="G56:G71" si="8">H56/F56</f>
        <v>76.346828035755991</v>
      </c>
      <c r="H56" s="83">
        <f>'ОХЗ (поГЗ)'!H49</f>
        <v>0.27857400683695355</v>
      </c>
      <c r="I56" s="78"/>
    </row>
    <row r="57" spans="1:11" outlineLevel="1" x14ac:dyDescent="0.25">
      <c r="A57" s="79">
        <f>'ОХЗ (поГЗ)'!A50</f>
        <v>226</v>
      </c>
      <c r="B57" s="67" t="str">
        <f>'ОХЗ (поГЗ)'!B50</f>
        <v>Обслуживание комьютерной техники</v>
      </c>
      <c r="C57" s="14" t="s">
        <v>132</v>
      </c>
      <c r="D57" s="93">
        <v>1</v>
      </c>
      <c r="E57" s="81">
        <f t="shared" si="7"/>
        <v>274063</v>
      </c>
      <c r="F57" s="85">
        <f>D57*1000/E57</f>
        <v>3.6487960797334921E-3</v>
      </c>
      <c r="G57" s="66">
        <f t="shared" si="8"/>
        <v>10.496</v>
      </c>
      <c r="H57" s="83">
        <f>'ОХЗ (поГЗ)'!H50</f>
        <v>3.8297763652882733E-2</v>
      </c>
      <c r="I57" s="78"/>
    </row>
    <row r="58" spans="1:11" outlineLevel="1" x14ac:dyDescent="0.25">
      <c r="A58" s="79">
        <f>'ОХЗ (поГЗ)'!A51</f>
        <v>226</v>
      </c>
      <c r="B58" s="67" t="str">
        <f>'ОХЗ (поГЗ)'!B51</f>
        <v>Обслуживание баз данных, сайта</v>
      </c>
      <c r="C58" s="14" t="s">
        <v>132</v>
      </c>
      <c r="D58" s="93">
        <v>1</v>
      </c>
      <c r="E58" s="81">
        <f t="shared" si="7"/>
        <v>274063</v>
      </c>
      <c r="F58" s="85">
        <f>D58*1000/E58</f>
        <v>3.6487960797334921E-3</v>
      </c>
      <c r="G58" s="66">
        <f t="shared" si="8"/>
        <v>273.50240640000004</v>
      </c>
      <c r="H58" s="83">
        <f>'ОХЗ (поГЗ)'!H51</f>
        <v>0.99795450826999643</v>
      </c>
      <c r="I58" s="78"/>
    </row>
    <row r="59" spans="1:11" outlineLevel="1" x14ac:dyDescent="0.25">
      <c r="A59" s="79">
        <f>'ОХЗ (поГЗ)'!A52</f>
        <v>227</v>
      </c>
      <c r="B59" s="67" t="str">
        <f>'ОХЗ (поГЗ)'!B52</f>
        <v>Страхование имущества, оборудования</v>
      </c>
      <c r="C59" s="14" t="s">
        <v>132</v>
      </c>
      <c r="D59" s="93">
        <v>1</v>
      </c>
      <c r="E59" s="81">
        <f t="shared" si="7"/>
        <v>274063</v>
      </c>
      <c r="F59" s="85">
        <f t="shared" ref="F59:F65" si="9">D59*1000/E59</f>
        <v>3.6487960797334921E-3</v>
      </c>
      <c r="G59" s="66">
        <f t="shared" si="8"/>
        <v>34.112000000000002</v>
      </c>
      <c r="H59" s="83">
        <f>'ОХЗ (поГЗ)'!H52</f>
        <v>0.12446773187186888</v>
      </c>
      <c r="I59" s="78"/>
    </row>
    <row r="60" spans="1:11" outlineLevel="1" x14ac:dyDescent="0.25">
      <c r="A60" s="79">
        <f>'ОХЗ (поГЗ)'!A53</f>
        <v>226</v>
      </c>
      <c r="B60" s="67" t="str">
        <f>'ОХЗ (поГЗ)'!B53</f>
        <v>Курсы повышения квалификации</v>
      </c>
      <c r="C60" s="14" t="s">
        <v>132</v>
      </c>
      <c r="D60" s="93">
        <v>1</v>
      </c>
      <c r="E60" s="81">
        <f t="shared" si="7"/>
        <v>274063</v>
      </c>
      <c r="F60" s="85">
        <f t="shared" si="9"/>
        <v>3.6487960797334921E-3</v>
      </c>
      <c r="G60" s="66">
        <f t="shared" si="8"/>
        <v>0</v>
      </c>
      <c r="H60" s="83">
        <f>'ОХЗ (поГЗ)'!H53</f>
        <v>0</v>
      </c>
      <c r="I60" s="78"/>
    </row>
    <row r="61" spans="1:11" outlineLevel="1" x14ac:dyDescent="0.25">
      <c r="A61" s="79">
        <f>'ОХЗ (поГЗ)'!A54</f>
        <v>226</v>
      </c>
      <c r="B61" s="67" t="str">
        <f>'ОХЗ (поГЗ)'!B54</f>
        <v>Медицинские периодические осмотры</v>
      </c>
      <c r="C61" s="14" t="s">
        <v>132</v>
      </c>
      <c r="D61" s="93">
        <v>1</v>
      </c>
      <c r="E61" s="81">
        <f t="shared" si="7"/>
        <v>274063</v>
      </c>
      <c r="F61" s="85">
        <f t="shared" si="9"/>
        <v>3.6487960797334921E-3</v>
      </c>
      <c r="G61" s="66">
        <f t="shared" si="8"/>
        <v>378.64319999999998</v>
      </c>
      <c r="H61" s="83">
        <f>'ОХЗ (поГЗ)'!H54</f>
        <v>1.3815918237777445</v>
      </c>
      <c r="I61" s="78"/>
    </row>
    <row r="62" spans="1:11" outlineLevel="1" x14ac:dyDescent="0.25">
      <c r="A62" s="79">
        <f>'ОХЗ (поГЗ)'!A55</f>
        <v>226</v>
      </c>
      <c r="B62" s="67" t="str">
        <f>'ОХЗ (поГЗ)'!B55</f>
        <v>Проверка лок.смет, изготовление энергетич.паспортов</v>
      </c>
      <c r="C62" s="14" t="s">
        <v>132</v>
      </c>
      <c r="D62" s="93">
        <v>1</v>
      </c>
      <c r="E62" s="81">
        <f t="shared" si="7"/>
        <v>274063</v>
      </c>
      <c r="F62" s="85">
        <f t="shared" si="9"/>
        <v>3.6487960797334921E-3</v>
      </c>
      <c r="G62" s="66">
        <f t="shared" si="8"/>
        <v>115.25920000000001</v>
      </c>
      <c r="H62" s="83">
        <f>'ОХЗ (поГЗ)'!H55</f>
        <v>0.42055731711321853</v>
      </c>
      <c r="I62" s="78"/>
    </row>
    <row r="63" spans="1:11" outlineLevel="1" x14ac:dyDescent="0.25">
      <c r="A63" s="79">
        <f>'ОХЗ (поГЗ)'!A56</f>
        <v>226</v>
      </c>
      <c r="B63" s="67" t="str">
        <f>'ОХЗ (поГЗ)'!B56</f>
        <v>Оплата за атостоянку</v>
      </c>
      <c r="C63" s="14" t="s">
        <v>132</v>
      </c>
      <c r="D63" s="93">
        <v>1</v>
      </c>
      <c r="E63" s="81">
        <f t="shared" si="7"/>
        <v>274063</v>
      </c>
      <c r="F63" s="85">
        <f t="shared" si="9"/>
        <v>3.6487960797334921E-3</v>
      </c>
      <c r="G63" s="66">
        <f t="shared" si="8"/>
        <v>9.84</v>
      </c>
      <c r="H63" s="83">
        <f>'ОХЗ (поГЗ)'!H56</f>
        <v>3.5904153424577562E-2</v>
      </c>
      <c r="I63" s="78"/>
    </row>
    <row r="64" spans="1:11" outlineLevel="1" x14ac:dyDescent="0.25">
      <c r="A64" s="79">
        <f>'ОХЗ (поГЗ)'!A57</f>
        <v>226</v>
      </c>
      <c r="B64" s="67" t="str">
        <f>'ОХЗ (поГЗ)'!B57</f>
        <v>Услуги банка</v>
      </c>
      <c r="C64" s="14" t="s">
        <v>132</v>
      </c>
      <c r="D64" s="93">
        <v>1</v>
      </c>
      <c r="E64" s="81">
        <f t="shared" si="7"/>
        <v>274063</v>
      </c>
      <c r="F64" s="85">
        <f t="shared" si="9"/>
        <v>3.6487960797334921E-3</v>
      </c>
      <c r="G64" s="66">
        <f t="shared" si="8"/>
        <v>63.622356696463328</v>
      </c>
      <c r="H64" s="83">
        <f>'ОХЗ (поГЗ)'!H57</f>
        <v>0.23214500569746127</v>
      </c>
      <c r="I64" s="78"/>
    </row>
    <row r="65" spans="1:11" outlineLevel="1" x14ac:dyDescent="0.25">
      <c r="A65" s="79" t="str">
        <f>'ОХЗ (поГЗ)'!A58</f>
        <v>290, 291</v>
      </c>
      <c r="B65" s="67" t="str">
        <f>'ОХЗ (поГЗ)'!B58</f>
        <v>Прочие налоги и сборы</v>
      </c>
      <c r="C65" s="14" t="s">
        <v>132</v>
      </c>
      <c r="D65" s="93">
        <v>1</v>
      </c>
      <c r="E65" s="81">
        <f t="shared" si="7"/>
        <v>274063</v>
      </c>
      <c r="F65" s="85">
        <f t="shared" si="9"/>
        <v>3.6487960797334921E-3</v>
      </c>
      <c r="G65" s="66">
        <f t="shared" si="8"/>
        <v>87.718369959898354</v>
      </c>
      <c r="H65" s="83">
        <f>'ОХЗ (поГЗ)'!H58</f>
        <v>0.32006644443028925</v>
      </c>
      <c r="I65" s="78"/>
    </row>
    <row r="66" spans="1:11" outlineLevel="1" x14ac:dyDescent="0.25">
      <c r="A66" s="79">
        <f>'ОХЗ (поГЗ)'!A59</f>
        <v>291</v>
      </c>
      <c r="B66" s="67" t="str">
        <f>'ОХЗ (поГЗ)'!B59</f>
        <v>Транспортный и земельный налоги</v>
      </c>
      <c r="C66" s="14" t="s">
        <v>132</v>
      </c>
      <c r="D66" s="93">
        <v>1</v>
      </c>
      <c r="E66" s="81">
        <f t="shared" si="7"/>
        <v>274063</v>
      </c>
      <c r="F66" s="85">
        <f>D66*1000/E66</f>
        <v>3.6487960797334921E-3</v>
      </c>
      <c r="G66" s="66">
        <f t="shared" si="8"/>
        <v>333.752792</v>
      </c>
      <c r="H66" s="83">
        <f>'ОХЗ (поГЗ)'!H59</f>
        <v>1.2177958790497077</v>
      </c>
      <c r="I66" s="70"/>
    </row>
    <row r="67" spans="1:11" outlineLevel="1" x14ac:dyDescent="0.25">
      <c r="A67" s="79">
        <f>'ОХЗ (поГЗ)'!A60</f>
        <v>310</v>
      </c>
      <c r="B67" s="67" t="str">
        <f>'ОХЗ (поГЗ)'!B60</f>
        <v>Затраты на приобретение основных средств</v>
      </c>
      <c r="C67" s="14" t="s">
        <v>132</v>
      </c>
      <c r="D67" s="93">
        <v>1</v>
      </c>
      <c r="E67" s="81">
        <f t="shared" si="7"/>
        <v>274063</v>
      </c>
      <c r="F67" s="85">
        <f t="shared" ref="F67:F71" si="10">D67*1000/E67</f>
        <v>3.6487960797334921E-3</v>
      </c>
      <c r="G67" s="66">
        <f t="shared" si="8"/>
        <v>0</v>
      </c>
      <c r="H67" s="83">
        <f>'ОХЗ (поГЗ)'!H60</f>
        <v>0</v>
      </c>
      <c r="I67" s="78"/>
    </row>
    <row r="68" spans="1:11" outlineLevel="1" x14ac:dyDescent="0.25">
      <c r="A68" s="79">
        <f>'ОХЗ (поГЗ)'!A61</f>
        <v>346</v>
      </c>
      <c r="B68" s="67" t="str">
        <f>'ОХЗ (поГЗ)'!B61</f>
        <v>Приобретение катриджей, зап.части ЭВМ</v>
      </c>
      <c r="C68" s="14" t="s">
        <v>132</v>
      </c>
      <c r="D68" s="93">
        <v>1</v>
      </c>
      <c r="E68" s="81">
        <f t="shared" si="7"/>
        <v>274063</v>
      </c>
      <c r="F68" s="85">
        <f t="shared" si="10"/>
        <v>3.6487960797334921E-3</v>
      </c>
      <c r="G68" s="66">
        <f t="shared" si="8"/>
        <v>85.28</v>
      </c>
      <c r="H68" s="83">
        <f>'ОХЗ (поГЗ)'!H61</f>
        <v>0.3111693296796722</v>
      </c>
      <c r="I68" s="70"/>
    </row>
    <row r="69" spans="1:11" outlineLevel="1" x14ac:dyDescent="0.25">
      <c r="A69" s="79">
        <f>'ОХЗ (поГЗ)'!A62</f>
        <v>225</v>
      </c>
      <c r="B69" s="67" t="str">
        <f>'ОХЗ (поГЗ)'!B62</f>
        <v>Стирка белья</v>
      </c>
      <c r="C69" s="14" t="s">
        <v>132</v>
      </c>
      <c r="D69" s="93">
        <v>1</v>
      </c>
      <c r="E69" s="81">
        <f t="shared" si="7"/>
        <v>274063</v>
      </c>
      <c r="F69" s="85">
        <f t="shared" si="10"/>
        <v>3.6487960797334921E-3</v>
      </c>
      <c r="G69" s="66">
        <f t="shared" si="8"/>
        <v>6.56</v>
      </c>
      <c r="H69" s="83">
        <f>'ОХЗ (поГЗ)'!H62</f>
        <v>2.3936102283051708E-2</v>
      </c>
      <c r="I69" s="78"/>
    </row>
    <row r="70" spans="1:11" ht="25.5" outlineLevel="1" x14ac:dyDescent="0.25">
      <c r="A70" s="79">
        <f>'ОХЗ (поГЗ)'!A63</f>
        <v>225</v>
      </c>
      <c r="B70" s="67" t="str">
        <f>'ОХЗ (поГЗ)'!B63</f>
        <v>Поверка, калибровка, сличительные испытания оборудования</v>
      </c>
      <c r="C70" s="14" t="s">
        <v>132</v>
      </c>
      <c r="D70" s="93">
        <v>1</v>
      </c>
      <c r="E70" s="81">
        <f t="shared" si="7"/>
        <v>274063</v>
      </c>
      <c r="F70" s="85">
        <f t="shared" si="10"/>
        <v>3.6487960797334921E-3</v>
      </c>
      <c r="G70" s="66">
        <f t="shared" si="8"/>
        <v>321.06214399999999</v>
      </c>
      <c r="H70" s="83">
        <f>'ОХЗ (поГЗ)'!H63</f>
        <v>1.1714902923780299</v>
      </c>
      <c r="I70" s="78"/>
    </row>
    <row r="71" spans="1:11" outlineLevel="1" x14ac:dyDescent="0.25">
      <c r="A71" s="79">
        <f>'ОХЗ (поГЗ)'!A64</f>
        <v>346</v>
      </c>
      <c r="B71" s="67" t="str">
        <f>'ОХЗ (поГЗ)'!B64</f>
        <v>Канцтовары, хоз.товары</v>
      </c>
      <c r="C71" s="14" t="s">
        <v>132</v>
      </c>
      <c r="D71" s="93">
        <v>1</v>
      </c>
      <c r="E71" s="81">
        <f t="shared" si="7"/>
        <v>274063</v>
      </c>
      <c r="F71" s="85">
        <f t="shared" si="10"/>
        <v>3.6487960797334921E-3</v>
      </c>
      <c r="G71" s="66">
        <f t="shared" si="8"/>
        <v>327.99999999999994</v>
      </c>
      <c r="H71" s="83">
        <f>'ОХЗ (поГЗ)'!H64</f>
        <v>1.1968051141525853</v>
      </c>
      <c r="I71" s="78"/>
    </row>
    <row r="72" spans="1:11" outlineLevel="1" x14ac:dyDescent="0.25">
      <c r="A72" s="79">
        <f>'ОХЗ (поГЗ)'!A65</f>
        <v>346</v>
      </c>
      <c r="B72" s="67" t="str">
        <f>'ОХЗ (поГЗ)'!B65</f>
        <v>Дрова (Калевала, Пряжа, Лоухи)</v>
      </c>
      <c r="C72" s="14" t="s">
        <v>132</v>
      </c>
      <c r="D72" s="93">
        <v>1</v>
      </c>
      <c r="E72" s="81">
        <f t="shared" si="7"/>
        <v>274063</v>
      </c>
      <c r="F72" s="85">
        <f>D72*1000/E72</f>
        <v>3.6487960797334921E-3</v>
      </c>
      <c r="G72" s="66">
        <f>H72/F72</f>
        <v>62.188800000000001</v>
      </c>
      <c r="H72" s="83">
        <f>'ОХЗ (поГЗ)'!H65</f>
        <v>0.22691424964333021</v>
      </c>
      <c r="I72" s="487"/>
    </row>
    <row r="73" spans="1:11" outlineLevel="1" x14ac:dyDescent="0.25">
      <c r="A73" s="79">
        <f>'ОХЗ (поГЗ)'!A66</f>
        <v>342</v>
      </c>
      <c r="B73" s="67" t="str">
        <f>'ОХЗ (поГЗ)'!B66</f>
        <v>Молоко</v>
      </c>
      <c r="C73" s="14" t="s">
        <v>132</v>
      </c>
      <c r="D73" s="93">
        <v>1</v>
      </c>
      <c r="E73" s="81">
        <f t="shared" si="7"/>
        <v>274063</v>
      </c>
      <c r="F73" s="85">
        <f>D73*1000/E73</f>
        <v>3.6487960797334921E-3</v>
      </c>
      <c r="G73" s="66">
        <f>H73/F73</f>
        <v>131.19999999999999</v>
      </c>
      <c r="H73" s="83">
        <f>'ОХЗ (поГЗ)'!H66</f>
        <v>0.47872204566103416</v>
      </c>
      <c r="I73" s="487"/>
    </row>
    <row r="74" spans="1:11" ht="25.5" outlineLevel="1" x14ac:dyDescent="0.25">
      <c r="A74" s="79">
        <f>'ОХЗ (поГЗ)'!A67</f>
        <v>345</v>
      </c>
      <c r="B74" s="67" t="str">
        <f>'ОХЗ (поГЗ)'!B67</f>
        <v>Мягкий инвентарь, спецодежда (водители, электрик, подсоб.рабочий, санитар-водитель)</v>
      </c>
      <c r="C74" s="14" t="s">
        <v>132</v>
      </c>
      <c r="D74" s="93">
        <v>2</v>
      </c>
      <c r="E74" s="81">
        <f t="shared" si="7"/>
        <v>274063</v>
      </c>
      <c r="F74" s="85">
        <f>D74*1000/E74</f>
        <v>7.2975921594669842E-3</v>
      </c>
      <c r="G74" s="66">
        <f>H74/F74</f>
        <v>26.24</v>
      </c>
      <c r="H74" s="83">
        <f>'ОХЗ (поГЗ)'!H67</f>
        <v>0.19148881826441366</v>
      </c>
      <c r="I74" s="487"/>
    </row>
    <row r="75" spans="1:11" ht="25.5" outlineLevel="1" x14ac:dyDescent="0.25">
      <c r="A75" s="90" t="str">
        <f>'ОХЗ (поГЗ)'!A68</f>
        <v>212, 214, 226, 267</v>
      </c>
      <c r="B75" s="67" t="str">
        <f>'ОХЗ (поГЗ)'!B68</f>
        <v>Прочие выплаты (Пособие от 1,5 до 3-х лет, проезд до места работы и обрано, расходы по командировкам)</v>
      </c>
      <c r="C75" s="14" t="s">
        <v>132</v>
      </c>
      <c r="D75" s="93">
        <v>1</v>
      </c>
      <c r="E75" s="81">
        <f t="shared" si="7"/>
        <v>274063</v>
      </c>
      <c r="F75" s="85">
        <f>D75*1000/E75</f>
        <v>3.6487960797334921E-3</v>
      </c>
      <c r="G75" s="66">
        <f>H75/F75</f>
        <v>559.96279547182803</v>
      </c>
      <c r="H75" s="83">
        <f>'ОХЗ (поГЗ)'!H68</f>
        <v>2.0431900529142135</v>
      </c>
      <c r="I75" s="78"/>
    </row>
    <row r="76" spans="1:11" ht="13.5" x14ac:dyDescent="0.25">
      <c r="A76" s="1005" t="s">
        <v>74</v>
      </c>
      <c r="B76" s="1005"/>
      <c r="C76" s="1005"/>
      <c r="D76" s="1005"/>
      <c r="E76" s="1005"/>
      <c r="F76" s="1005"/>
      <c r="G76" s="1005"/>
      <c r="H76" s="92">
        <f>SUM(H56:H75)</f>
        <v>10.691070639101032</v>
      </c>
      <c r="I76" s="78"/>
      <c r="J76" s="86">
        <f>'ОХЗ (поГЗ)'!H69</f>
        <v>10.691070639101032</v>
      </c>
      <c r="K76" s="86">
        <f>J76-H76</f>
        <v>0</v>
      </c>
    </row>
    <row r="77" spans="1:11" ht="13.5" x14ac:dyDescent="0.25">
      <c r="A77" s="61"/>
      <c r="B77" s="41"/>
      <c r="C77" s="104"/>
      <c r="D77" s="41"/>
      <c r="E77" s="41"/>
      <c r="F77" s="41"/>
      <c r="G77" s="41" t="s">
        <v>159</v>
      </c>
      <c r="H77" s="105">
        <f>H76*1000</f>
        <v>10691.070639101032</v>
      </c>
      <c r="I77" s="101"/>
    </row>
    <row r="78" spans="1:11" ht="15" x14ac:dyDescent="0.25">
      <c r="A78" s="999" t="s">
        <v>18</v>
      </c>
      <c r="B78" s="1000"/>
      <c r="C78" s="1000"/>
      <c r="D78" s="1000"/>
      <c r="E78" s="1000"/>
      <c r="F78" s="1000"/>
      <c r="G78" s="1001"/>
      <c r="H78" s="483">
        <f>H11+H21+H32+H40+H45+H53+H76</f>
        <v>148.79568539698175</v>
      </c>
      <c r="I78" s="487"/>
    </row>
    <row r="79" spans="1:11" x14ac:dyDescent="0.25">
      <c r="G79" s="102" t="s">
        <v>188</v>
      </c>
      <c r="H79" s="103">
        <f>H77+H54+H46+H41+H33+H22+H12</f>
        <v>148795.68539698172</v>
      </c>
    </row>
    <row r="80" spans="1:11" hidden="1" x14ac:dyDescent="0.25"/>
    <row r="81" spans="1:9" hidden="1" x14ac:dyDescent="0.25"/>
    <row r="82" spans="1:9" hidden="1" x14ac:dyDescent="0.25">
      <c r="A82" s="68"/>
      <c r="C82" s="68"/>
      <c r="H82" s="956">
        <f>'ОХЗ (поГЗ)'!H70</f>
        <v>148.79568539698175</v>
      </c>
      <c r="I82" s="69">
        <f>H82-H78</f>
        <v>0</v>
      </c>
    </row>
    <row r="83" spans="1:9" hidden="1" x14ac:dyDescent="0.25">
      <c r="A83" s="68"/>
      <c r="C83" s="68"/>
      <c r="H83" s="69">
        <f>H82*1000</f>
        <v>148795.68539698175</v>
      </c>
      <c r="I83" s="69">
        <f>H83-H79</f>
        <v>0</v>
      </c>
    </row>
    <row r="91" spans="1:9" collapsed="1" x14ac:dyDescent="0.25">
      <c r="A91" s="68"/>
      <c r="C91" s="68"/>
    </row>
  </sheetData>
  <mergeCells count="15">
    <mergeCell ref="A78:G78"/>
    <mergeCell ref="A1:I1"/>
    <mergeCell ref="A55:I55"/>
    <mergeCell ref="A76:G76"/>
    <mergeCell ref="A34:I34"/>
    <mergeCell ref="A40:G40"/>
    <mergeCell ref="A42:I42"/>
    <mergeCell ref="A45:G45"/>
    <mergeCell ref="A47:I47"/>
    <mergeCell ref="A53:G53"/>
    <mergeCell ref="A32:G32"/>
    <mergeCell ref="A11:G11"/>
    <mergeCell ref="A13:I13"/>
    <mergeCell ref="A21:G21"/>
    <mergeCell ref="A23:I23"/>
  </mergeCells>
  <printOptions horizontalCentered="1"/>
  <pageMargins left="0.23622047244094491" right="0.23622047244094491" top="0.35433070866141736" bottom="0.15748031496062992" header="0" footer="0"/>
  <pageSetup paperSize="9" scale="6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78" t="s">
        <v>558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46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№24!B6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(ЦК)'!N12</f>
        <v>450</v>
      </c>
      <c r="D6" s="881">
        <f>'Свод РЦВК 2020'!I30</f>
        <v>100</v>
      </c>
      <c r="E6" s="882">
        <f>C6/D6</f>
        <v>4.5</v>
      </c>
      <c r="F6" s="875">
        <f>№28!F6</f>
        <v>772.13910001199997</v>
      </c>
      <c r="G6" s="907">
        <f>№28!G6</f>
        <v>206.49516214759072</v>
      </c>
      <c r="H6" s="150">
        <f>E6*G6</f>
        <v>929.22822966415822</v>
      </c>
      <c r="I6" s="497" t="str">
        <f>№24!I6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SUM(H6:H6)</f>
        <v>929.22822966415822</v>
      </c>
      <c r="I7" s="496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92922.822966415828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46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>
        <v>1</v>
      </c>
      <c r="B11" s="249"/>
      <c r="C11" s="250"/>
      <c r="D11" s="251"/>
      <c r="E11" s="169"/>
      <c r="F11" s="169"/>
      <c r="G11" s="171"/>
      <c r="H11" s="171">
        <f>IFERROR(E11*G11/F11,0)</f>
        <v>0</v>
      </c>
      <c r="I11" s="1118"/>
    </row>
    <row r="12" spans="1:11" outlineLevel="1" x14ac:dyDescent="0.25">
      <c r="A12" s="168"/>
      <c r="B12" s="249"/>
      <c r="C12" s="252"/>
      <c r="D12" s="251"/>
      <c r="E12" s="169"/>
      <c r="F12" s="169"/>
      <c r="G12" s="171"/>
      <c r="H12" s="171"/>
      <c r="I12" s="1103"/>
    </row>
    <row r="13" spans="1:11" x14ac:dyDescent="0.25">
      <c r="A13" s="1072" t="s">
        <v>14</v>
      </c>
      <c r="B13" s="1073"/>
      <c r="C13" s="1073"/>
      <c r="D13" s="1073"/>
      <c r="E13" s="1073"/>
      <c r="F13" s="1073"/>
      <c r="G13" s="1074"/>
      <c r="H13" s="253">
        <f>SUM(H11:H12)</f>
        <v>0</v>
      </c>
      <c r="I13" s="1104"/>
    </row>
    <row r="14" spans="1:11" s="123" customFormat="1" ht="67.5" x14ac:dyDescent="0.25">
      <c r="A14" s="141" t="s">
        <v>0</v>
      </c>
      <c r="B14" s="141" t="s">
        <v>9</v>
      </c>
      <c r="C14" s="900" t="s">
        <v>1278</v>
      </c>
      <c r="D14" s="141" t="s">
        <v>123</v>
      </c>
      <c r="E14" s="141" t="s">
        <v>10</v>
      </c>
      <c r="F14" s="141" t="s">
        <v>15</v>
      </c>
      <c r="G14" s="141" t="s">
        <v>939</v>
      </c>
      <c r="H14" s="141" t="s">
        <v>347</v>
      </c>
      <c r="I14" s="141" t="s">
        <v>4</v>
      </c>
    </row>
    <row r="15" spans="1:11" s="123" customFormat="1" ht="11.25" x14ac:dyDescent="0.25">
      <c r="A15" s="246">
        <v>1</v>
      </c>
      <c r="B15" s="246">
        <v>2</v>
      </c>
      <c r="C15" s="246">
        <v>3</v>
      </c>
      <c r="D15" s="246">
        <v>4</v>
      </c>
      <c r="E15" s="246" t="s">
        <v>5</v>
      </c>
      <c r="F15" s="246">
        <v>6</v>
      </c>
      <c r="G15" s="246">
        <v>7</v>
      </c>
      <c r="H15" s="246" t="s">
        <v>12</v>
      </c>
      <c r="I15" s="246">
        <v>9</v>
      </c>
    </row>
    <row r="16" spans="1:11" x14ac:dyDescent="0.25">
      <c r="A16" s="1126" t="s">
        <v>16</v>
      </c>
      <c r="B16" s="1126"/>
      <c r="C16" s="1126"/>
      <c r="D16" s="1126"/>
      <c r="E16" s="1126"/>
      <c r="F16" s="1126"/>
      <c r="G16" s="1126"/>
      <c r="H16" s="1126"/>
      <c r="I16" s="1126"/>
    </row>
    <row r="17" spans="1:10" outlineLevel="1" x14ac:dyDescent="0.25">
      <c r="A17" s="168">
        <v>1</v>
      </c>
      <c r="B17" s="254" t="s">
        <v>317</v>
      </c>
      <c r="C17" s="148">
        <f>D17*E17</f>
        <v>800</v>
      </c>
      <c r="D17" s="506">
        <f>D6</f>
        <v>100</v>
      </c>
      <c r="E17" s="43">
        <v>8</v>
      </c>
      <c r="F17" s="169">
        <v>1</v>
      </c>
      <c r="G17" s="171">
        <f>250/500</f>
        <v>0.5</v>
      </c>
      <c r="H17" s="171">
        <f>E17*G17/F17</f>
        <v>4</v>
      </c>
      <c r="I17" s="1118" t="s">
        <v>505</v>
      </c>
      <c r="J17" s="60">
        <f>H17*D17</f>
        <v>400</v>
      </c>
    </row>
    <row r="18" spans="1:10" outlineLevel="1" x14ac:dyDescent="0.25">
      <c r="A18" s="168">
        <f>A17+1</f>
        <v>2</v>
      </c>
      <c r="B18" s="169"/>
      <c r="C18" s="170"/>
      <c r="D18" s="251"/>
      <c r="E18" s="169"/>
      <c r="F18" s="169"/>
      <c r="G18" s="171"/>
      <c r="H18" s="171">
        <f>IFERROR(E18*G18/F18,0)</f>
        <v>0</v>
      </c>
      <c r="I18" s="1103"/>
    </row>
    <row r="19" spans="1:10" x14ac:dyDescent="0.25">
      <c r="A19" s="1072" t="s">
        <v>17</v>
      </c>
      <c r="B19" s="1073"/>
      <c r="C19" s="1073"/>
      <c r="D19" s="1073"/>
      <c r="E19" s="1073"/>
      <c r="F19" s="1073"/>
      <c r="G19" s="1074"/>
      <c r="H19" s="253">
        <f>SUM(H17:H18)</f>
        <v>4</v>
      </c>
      <c r="I19" s="1104"/>
    </row>
    <row r="20" spans="1:10" x14ac:dyDescent="0.25">
      <c r="A20" s="1127" t="s">
        <v>18</v>
      </c>
      <c r="B20" s="1128"/>
      <c r="C20" s="1128"/>
      <c r="D20" s="1128"/>
      <c r="E20" s="1128"/>
      <c r="F20" s="1128"/>
      <c r="G20" s="1129"/>
      <c r="H20" s="498">
        <f>H19+H13+H7</f>
        <v>933.22822966415822</v>
      </c>
      <c r="I20" s="169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559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102" x14ac:dyDescent="0.25">
      <c r="A6" s="256" t="str">
        <f>'Свод РЦВК 2020'!D30</f>
        <v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</v>
      </c>
      <c r="B6" s="205">
        <f>№26!H7</f>
        <v>929.22822966415822</v>
      </c>
      <c r="C6" s="205">
        <f>№26!H13</f>
        <v>0</v>
      </c>
      <c r="D6" s="205">
        <f>№26!H19</f>
        <v>4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1552.44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1" width="0" style="60" hidden="1" customWidth="1"/>
    <col min="12" max="16384" width="8.85546875" style="60"/>
  </cols>
  <sheetData>
    <row r="1" spans="1:11" x14ac:dyDescent="0.25">
      <c r="A1" s="1078" t="s">
        <v>560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46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151" t="s">
        <v>129</v>
      </c>
      <c r="B6" s="247" t="str">
        <f>№24!B6</f>
        <v>Заместитель начальника-руководитель центра компетенции в сфере агропромышленного комплекса, ведущий аналитик</v>
      </c>
      <c r="C6" s="875">
        <f>'фонд времени (ЦК)'!N13</f>
        <v>30</v>
      </c>
      <c r="D6" s="881">
        <f>'Свод РЦВК 2020'!I31</f>
        <v>10</v>
      </c>
      <c r="E6" s="882">
        <f>C6/D6</f>
        <v>3</v>
      </c>
      <c r="F6" s="875">
        <f>№28!F6</f>
        <v>772.13910001199997</v>
      </c>
      <c r="G6" s="907">
        <f>№28!G6</f>
        <v>206.49516214759072</v>
      </c>
      <c r="H6" s="150">
        <f>E6*G6</f>
        <v>619.48548644277219</v>
      </c>
      <c r="I6" s="497" t="str">
        <f>№24!I6</f>
        <v>В соответствии со значением натуральных норм. Производственный календарь 2020 год: при 40 часовой рабочей неделе - 1979 часов, при 36 часовой рабочей неделе - 1780,60 часа. Основной персонал 3 человека. (3 ставки Х 1780,60)=5 341,80
5 341,80 * 70% = 3 739,26 (согласно п. 6.3. Стандартов деятельности ЦК в сфере с/х кооперации и поддержки фермеров)
Определяется исходя из годового фонда оплаты труда и годового фонда рабочего времени: 
основной персонал - 772,14/ 3739,26 = 206,50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SUM(H6:H6)</f>
        <v>619.48548644277219</v>
      </c>
      <c r="I7" s="496"/>
    </row>
    <row r="8" spans="1:11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123">
        <f>H7*D6</f>
        <v>6194.8548644277216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46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>
        <v>1</v>
      </c>
      <c r="B11" s="249"/>
      <c r="C11" s="148"/>
      <c r="D11" s="506">
        <f>D6</f>
        <v>10</v>
      </c>
      <c r="E11" s="43">
        <f>C11/D11</f>
        <v>0</v>
      </c>
      <c r="F11" s="169">
        <v>1</v>
      </c>
      <c r="G11" s="150"/>
      <c r="H11" s="44">
        <f>ROUND((E11*G11/F11),2)</f>
        <v>0</v>
      </c>
      <c r="I11" s="1118"/>
    </row>
    <row r="12" spans="1:11" outlineLevel="1" x14ac:dyDescent="0.25">
      <c r="A12" s="168"/>
      <c r="B12" s="249"/>
      <c r="C12" s="252"/>
      <c r="D12" s="251"/>
      <c r="E12" s="169"/>
      <c r="F12" s="169"/>
      <c r="G12" s="171"/>
      <c r="H12" s="171"/>
      <c r="I12" s="1103"/>
    </row>
    <row r="13" spans="1:11" x14ac:dyDescent="0.25">
      <c r="A13" s="1072" t="s">
        <v>14</v>
      </c>
      <c r="B13" s="1073"/>
      <c r="C13" s="1073"/>
      <c r="D13" s="1073"/>
      <c r="E13" s="1073"/>
      <c r="F13" s="1073"/>
      <c r="G13" s="1074"/>
      <c r="H13" s="248">
        <f>SUM(H11:H12)</f>
        <v>0</v>
      </c>
      <c r="I13" s="1104"/>
    </row>
    <row r="14" spans="1:11" s="123" customFormat="1" ht="67.5" x14ac:dyDescent="0.25">
      <c r="A14" s="141" t="s">
        <v>0</v>
      </c>
      <c r="B14" s="141" t="s">
        <v>9</v>
      </c>
      <c r="C14" s="900" t="s">
        <v>1278</v>
      </c>
      <c r="D14" s="141" t="s">
        <v>123</v>
      </c>
      <c r="E14" s="141" t="s">
        <v>10</v>
      </c>
      <c r="F14" s="141" t="s">
        <v>15</v>
      </c>
      <c r="G14" s="141" t="s">
        <v>939</v>
      </c>
      <c r="H14" s="141" t="s">
        <v>347</v>
      </c>
      <c r="I14" s="141" t="s">
        <v>4</v>
      </c>
    </row>
    <row r="15" spans="1:11" s="123" customFormat="1" ht="11.25" x14ac:dyDescent="0.25">
      <c r="A15" s="246">
        <v>1</v>
      </c>
      <c r="B15" s="246">
        <v>2</v>
      </c>
      <c r="C15" s="246">
        <v>3</v>
      </c>
      <c r="D15" s="246">
        <v>4</v>
      </c>
      <c r="E15" s="246" t="s">
        <v>5</v>
      </c>
      <c r="F15" s="246">
        <v>6</v>
      </c>
      <c r="G15" s="246">
        <v>7</v>
      </c>
      <c r="H15" s="246" t="s">
        <v>12</v>
      </c>
      <c r="I15" s="246">
        <v>9</v>
      </c>
    </row>
    <row r="16" spans="1:11" x14ac:dyDescent="0.25">
      <c r="A16" s="1126" t="s">
        <v>16</v>
      </c>
      <c r="B16" s="1126"/>
      <c r="C16" s="1126"/>
      <c r="D16" s="1126"/>
      <c r="E16" s="1126"/>
      <c r="F16" s="1126"/>
      <c r="G16" s="1126"/>
      <c r="H16" s="1126"/>
      <c r="I16" s="1126"/>
    </row>
    <row r="17" spans="1:9" outlineLevel="1" x14ac:dyDescent="0.25">
      <c r="A17" s="168">
        <v>1</v>
      </c>
      <c r="B17" s="254"/>
      <c r="C17" s="255"/>
      <c r="D17" s="251"/>
      <c r="E17" s="169"/>
      <c r="F17" s="169">
        <v>1</v>
      </c>
      <c r="G17" s="171"/>
      <c r="H17" s="171">
        <f>ROUND((E17*G17/F17),2)</f>
        <v>0</v>
      </c>
      <c r="I17" s="1118"/>
    </row>
    <row r="18" spans="1:9" outlineLevel="1" x14ac:dyDescent="0.25">
      <c r="A18" s="168">
        <f>A17+1</f>
        <v>2</v>
      </c>
      <c r="B18" s="169"/>
      <c r="C18" s="170"/>
      <c r="D18" s="251"/>
      <c r="E18" s="169"/>
      <c r="F18" s="169"/>
      <c r="G18" s="171"/>
      <c r="H18" s="171">
        <f>IFERROR(E18*G18/F18,0)</f>
        <v>0</v>
      </c>
      <c r="I18" s="1103"/>
    </row>
    <row r="19" spans="1:9" x14ac:dyDescent="0.25">
      <c r="A19" s="1072" t="s">
        <v>17</v>
      </c>
      <c r="B19" s="1073"/>
      <c r="C19" s="1073"/>
      <c r="D19" s="1073"/>
      <c r="E19" s="1073"/>
      <c r="F19" s="1073"/>
      <c r="G19" s="1074"/>
      <c r="H19" s="253">
        <f>SUM(H17:H18)</f>
        <v>0</v>
      </c>
      <c r="I19" s="1104"/>
    </row>
    <row r="20" spans="1:9" x14ac:dyDescent="0.25">
      <c r="A20" s="1127" t="s">
        <v>18</v>
      </c>
      <c r="B20" s="1128"/>
      <c r="C20" s="1128"/>
      <c r="D20" s="1128"/>
      <c r="E20" s="1128"/>
      <c r="F20" s="1128"/>
      <c r="G20" s="1129"/>
      <c r="H20" s="498">
        <f>H19+H13+H7</f>
        <v>619.48548644277219</v>
      </c>
      <c r="I20" s="169"/>
    </row>
  </sheetData>
  <mergeCells count="9">
    <mergeCell ref="A1:I1"/>
    <mergeCell ref="A16:I16"/>
    <mergeCell ref="I17:I19"/>
    <mergeCell ref="A19:G19"/>
    <mergeCell ref="A20:G20"/>
    <mergeCell ref="A7:G7"/>
    <mergeCell ref="A10:I10"/>
    <mergeCell ref="I11:I13"/>
    <mergeCell ref="A13:G1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6" sqref="C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561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38.25" x14ac:dyDescent="0.25">
      <c r="A6" s="256" t="str">
        <f>'Свод РЦВК 2020'!D31</f>
        <v>Оказание устных юридических консультаций субъектов МСП и СХК</v>
      </c>
      <c r="B6" s="205">
        <f>№27!H7</f>
        <v>619.48548644277219</v>
      </c>
      <c r="C6" s="205">
        <f>№27!H13</f>
        <v>0</v>
      </c>
      <c r="D6" s="205">
        <f>№27!H19</f>
        <v>0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1238.7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</sheetPr>
  <dimension ref="A1:K20"/>
  <sheetViews>
    <sheetView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J1" sqref="J1:K104857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1.5703125" style="60" hidden="1" customWidth="1"/>
    <col min="11" max="11" width="12" style="60" hidden="1" customWidth="1"/>
    <col min="12" max="16384" width="8.85546875" style="60"/>
  </cols>
  <sheetData>
    <row r="1" spans="1:11" x14ac:dyDescent="0.25">
      <c r="A1" s="1078" t="s">
        <v>1406</v>
      </c>
      <c r="B1" s="1078"/>
      <c r="C1" s="1078"/>
      <c r="D1" s="1078"/>
      <c r="E1" s="1078"/>
      <c r="F1" s="1078"/>
      <c r="G1" s="1078"/>
      <c r="H1" s="1078"/>
      <c r="I1" s="1078"/>
    </row>
    <row r="2" spans="1:11" ht="6" customHeight="1" x14ac:dyDescent="0.25"/>
    <row r="3" spans="1:11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  <c r="J3" s="59">
        <f>K8+№27!K8+№26!K8+№25!K8+№24!K8+№23!K8+№22!K8+№21!K8</f>
        <v>771465.92578339891</v>
      </c>
      <c r="K3" s="59">
        <f>J6-J3</f>
        <v>673.17422860104125</v>
      </c>
    </row>
    <row r="4" spans="1:11" s="123" customFormat="1" ht="11.25" x14ac:dyDescent="0.25">
      <c r="A4" s="246">
        <v>1</v>
      </c>
      <c r="B4" s="246">
        <v>2</v>
      </c>
      <c r="C4" s="246">
        <v>3</v>
      </c>
      <c r="D4" s="246">
        <v>4</v>
      </c>
      <c r="E4" s="246" t="s">
        <v>158</v>
      </c>
      <c r="F4" s="246"/>
      <c r="G4" s="246">
        <v>6</v>
      </c>
      <c r="H4" s="246" t="s">
        <v>6</v>
      </c>
      <c r="I4" s="246">
        <v>8</v>
      </c>
    </row>
    <row r="5" spans="1:11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1" ht="132" outlineLevel="1" x14ac:dyDescent="0.25">
      <c r="A6" s="274" t="s">
        <v>122</v>
      </c>
      <c r="B6" s="247" t="s">
        <v>474</v>
      </c>
      <c r="C6" s="875">
        <f>'фонд времени (ЦК)'!N15</f>
        <v>12.5</v>
      </c>
      <c r="D6" s="881">
        <f>'Свод РЦВК 2020'!I32</f>
        <v>5</v>
      </c>
      <c r="E6" s="882">
        <f>C6/D6</f>
        <v>2.5</v>
      </c>
      <c r="F6" s="875">
        <f>J6/1000</f>
        <v>772.13910001199997</v>
      </c>
      <c r="G6" s="881">
        <f>J6/J7</f>
        <v>206.49516214759072</v>
      </c>
      <c r="H6" s="150">
        <f>E6*G6</f>
        <v>516.23790536897684</v>
      </c>
      <c r="I6" s="497" t="s">
        <v>1413</v>
      </c>
      <c r="J6" s="59">
        <v>772139.10001199995</v>
      </c>
      <c r="K6" s="59">
        <v>2018462.216431248</v>
      </c>
    </row>
    <row r="7" spans="1:11" x14ac:dyDescent="0.25">
      <c r="A7" s="1079" t="s">
        <v>8</v>
      </c>
      <c r="B7" s="1080"/>
      <c r="C7" s="1080"/>
      <c r="D7" s="1080"/>
      <c r="E7" s="1080"/>
      <c r="F7" s="1080"/>
      <c r="G7" s="1081"/>
      <c r="H7" s="248">
        <f>SUM(H6:H6)</f>
        <v>516.23790536897684</v>
      </c>
      <c r="I7" s="454"/>
      <c r="J7" s="59">
        <f>3*1780.6*70%</f>
        <v>3739.2599999999993</v>
      </c>
      <c r="K7" s="60">
        <f>J6/J7</f>
        <v>206.49516214759072</v>
      </c>
    </row>
    <row r="8" spans="1:1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60">
        <f>H7*D6</f>
        <v>2581.1895268448843</v>
      </c>
    </row>
    <row r="9" spans="1:11" s="123" customFormat="1" ht="11.25" x14ac:dyDescent="0.25">
      <c r="A9" s="246">
        <v>1</v>
      </c>
      <c r="B9" s="246">
        <v>2</v>
      </c>
      <c r="C9" s="246">
        <v>3</v>
      </c>
      <c r="D9" s="246">
        <v>4</v>
      </c>
      <c r="E9" s="246" t="s">
        <v>5</v>
      </c>
      <c r="F9" s="246">
        <v>6</v>
      </c>
      <c r="G9" s="246">
        <v>7</v>
      </c>
      <c r="H9" s="246" t="s">
        <v>12</v>
      </c>
      <c r="I9" s="246">
        <v>9</v>
      </c>
    </row>
    <row r="10" spans="1:11" x14ac:dyDescent="0.25">
      <c r="A10" s="1136" t="s">
        <v>13</v>
      </c>
      <c r="B10" s="1136"/>
      <c r="C10" s="1136"/>
      <c r="D10" s="1136"/>
      <c r="E10" s="1136"/>
      <c r="F10" s="1136"/>
      <c r="G10" s="1136"/>
      <c r="H10" s="1136"/>
      <c r="I10" s="1137"/>
    </row>
    <row r="11" spans="1:11" outlineLevel="1" x14ac:dyDescent="0.25">
      <c r="A11" s="168"/>
      <c r="B11" s="249"/>
      <c r="C11" s="148"/>
      <c r="D11" s="556"/>
      <c r="E11" s="43"/>
      <c r="F11" s="169"/>
      <c r="G11" s="171"/>
      <c r="H11" s="171">
        <f>IFERROR(E11*G11/F11,0)</f>
        <v>0</v>
      </c>
      <c r="I11" s="1118"/>
    </row>
    <row r="12" spans="1:11" outlineLevel="1" x14ac:dyDescent="0.25">
      <c r="A12" s="168"/>
      <c r="B12" s="249"/>
      <c r="C12" s="148"/>
      <c r="D12" s="557"/>
      <c r="E12" s="43"/>
      <c r="F12" s="169"/>
      <c r="G12" s="171"/>
      <c r="H12" s="171">
        <f>IFERROR(E12*G12/F12,0)</f>
        <v>0</v>
      </c>
      <c r="I12" s="1103"/>
    </row>
    <row r="13" spans="1:11" x14ac:dyDescent="0.25">
      <c r="A13" s="1072" t="s">
        <v>14</v>
      </c>
      <c r="B13" s="1073"/>
      <c r="C13" s="1073"/>
      <c r="D13" s="1073"/>
      <c r="E13" s="1073"/>
      <c r="F13" s="1073"/>
      <c r="G13" s="1074"/>
      <c r="H13" s="253">
        <f>SUM(H11:H11)</f>
        <v>0</v>
      </c>
      <c r="I13" s="1104"/>
    </row>
    <row r="14" spans="1:11" ht="67.5" x14ac:dyDescent="0.25">
      <c r="A14" s="141" t="s">
        <v>0</v>
      </c>
      <c r="B14" s="141" t="s">
        <v>9</v>
      </c>
      <c r="C14" s="900" t="s">
        <v>1278</v>
      </c>
      <c r="D14" s="141" t="s">
        <v>123</v>
      </c>
      <c r="E14" s="141" t="s">
        <v>10</v>
      </c>
      <c r="F14" s="141" t="s">
        <v>15</v>
      </c>
      <c r="G14" s="141" t="s">
        <v>939</v>
      </c>
      <c r="H14" s="141" t="s">
        <v>347</v>
      </c>
      <c r="I14" s="141" t="s">
        <v>4</v>
      </c>
    </row>
    <row r="15" spans="1:11" s="123" customFormat="1" ht="11.25" x14ac:dyDescent="0.25">
      <c r="A15" s="246">
        <v>1</v>
      </c>
      <c r="B15" s="246">
        <v>2</v>
      </c>
      <c r="C15" s="246">
        <v>3</v>
      </c>
      <c r="D15" s="246">
        <v>4</v>
      </c>
      <c r="E15" s="246" t="s">
        <v>5</v>
      </c>
      <c r="F15" s="246">
        <v>6</v>
      </c>
      <c r="G15" s="246">
        <v>7</v>
      </c>
      <c r="H15" s="246" t="s">
        <v>12</v>
      </c>
      <c r="I15" s="246">
        <v>9</v>
      </c>
    </row>
    <row r="16" spans="1:11" x14ac:dyDescent="0.25">
      <c r="A16" s="1126" t="s">
        <v>16</v>
      </c>
      <c r="B16" s="1126"/>
      <c r="C16" s="1126"/>
      <c r="D16" s="1126"/>
      <c r="E16" s="1126"/>
      <c r="F16" s="1126"/>
      <c r="G16" s="1126"/>
      <c r="H16" s="1126"/>
      <c r="I16" s="1126"/>
    </row>
    <row r="17" spans="1:10" outlineLevel="1" x14ac:dyDescent="0.25">
      <c r="A17" s="168">
        <v>1</v>
      </c>
      <c r="B17" s="254" t="s">
        <v>504</v>
      </c>
      <c r="C17" s="148">
        <v>5</v>
      </c>
      <c r="D17" s="506">
        <f>D6</f>
        <v>5</v>
      </c>
      <c r="E17" s="43">
        <f>C17/D17</f>
        <v>1</v>
      </c>
      <c r="F17" s="169">
        <v>1</v>
      </c>
      <c r="G17" s="171">
        <v>12</v>
      </c>
      <c r="H17" s="171">
        <f>E17*G17/F17</f>
        <v>12</v>
      </c>
      <c r="I17" s="1118"/>
      <c r="J17" s="60">
        <f>H17*D17</f>
        <v>60</v>
      </c>
    </row>
    <row r="18" spans="1:10" outlineLevel="1" x14ac:dyDescent="0.25">
      <c r="A18" s="168"/>
      <c r="B18" s="169"/>
      <c r="C18" s="170"/>
      <c r="D18" s="251"/>
      <c r="E18" s="169"/>
      <c r="F18" s="169"/>
      <c r="G18" s="171"/>
      <c r="H18" s="171">
        <f>IFERROR(E18*G18/F18,0)</f>
        <v>0</v>
      </c>
      <c r="I18" s="1103"/>
    </row>
    <row r="19" spans="1:10" x14ac:dyDescent="0.25">
      <c r="A19" s="1072" t="s">
        <v>17</v>
      </c>
      <c r="B19" s="1073"/>
      <c r="C19" s="1073"/>
      <c r="D19" s="1073"/>
      <c r="E19" s="1073"/>
      <c r="F19" s="1073"/>
      <c r="G19" s="1074"/>
      <c r="H19" s="253">
        <f>SUM(H17:H18)</f>
        <v>12</v>
      </c>
      <c r="I19" s="1104"/>
    </row>
    <row r="20" spans="1:10" x14ac:dyDescent="0.25">
      <c r="A20" s="1127" t="s">
        <v>18</v>
      </c>
      <c r="B20" s="1128"/>
      <c r="C20" s="1128"/>
      <c r="D20" s="1128"/>
      <c r="E20" s="1128"/>
      <c r="F20" s="1128"/>
      <c r="G20" s="1129"/>
      <c r="H20" s="498">
        <f>H19+H13+H7</f>
        <v>528.23790536897684</v>
      </c>
      <c r="I20" s="169"/>
    </row>
  </sheetData>
  <mergeCells count="9">
    <mergeCell ref="A1:I1"/>
    <mergeCell ref="A20:G20"/>
    <mergeCell ref="A7:G7"/>
    <mergeCell ref="A10:I10"/>
    <mergeCell ref="I11:I13"/>
    <mergeCell ref="A13:G13"/>
    <mergeCell ref="A16:I16"/>
    <mergeCell ref="I17:I19"/>
    <mergeCell ref="A19:G19"/>
  </mergeCells>
  <pageMargins left="0.31496062992125984" right="0.31496062992125984" top="0.74803149606299213" bottom="0.15748031496062992" header="0.31496062992125984" footer="0.31496062992125984"/>
  <pageSetup paperSize="9" scale="85" orientation="landscape" r:id="rId1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12" t="s">
        <v>562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</row>
    <row r="2" spans="1:12" ht="6" customHeight="1" x14ac:dyDescent="0.25"/>
    <row r="3" spans="1:12" ht="28.5" customHeight="1" x14ac:dyDescent="0.25">
      <c r="A3" s="1090" t="s">
        <v>160</v>
      </c>
      <c r="B3" s="1092" t="s">
        <v>161</v>
      </c>
      <c r="C3" s="1138"/>
      <c r="D3" s="1139"/>
      <c r="E3" s="1140" t="s">
        <v>162</v>
      </c>
      <c r="F3" s="1141"/>
      <c r="G3" s="1141"/>
      <c r="H3" s="1141"/>
      <c r="I3" s="1141"/>
      <c r="J3" s="1141"/>
      <c r="K3" s="1142"/>
      <c r="L3" s="1090" t="s">
        <v>163</v>
      </c>
    </row>
    <row r="4" spans="1:12" x14ac:dyDescent="0.25">
      <c r="A4" s="1088"/>
      <c r="B4" s="157" t="s">
        <v>164</v>
      </c>
      <c r="C4" s="157" t="s">
        <v>165</v>
      </c>
      <c r="D4" s="157" t="s">
        <v>166</v>
      </c>
      <c r="E4" s="157" t="s">
        <v>167</v>
      </c>
      <c r="F4" s="157" t="s">
        <v>168</v>
      </c>
      <c r="G4" s="157" t="s">
        <v>169</v>
      </c>
      <c r="H4" s="157" t="s">
        <v>170</v>
      </c>
      <c r="I4" s="157" t="s">
        <v>171</v>
      </c>
      <c r="J4" s="157" t="s">
        <v>172</v>
      </c>
      <c r="K4" s="157" t="s">
        <v>173</v>
      </c>
      <c r="L4" s="1088"/>
    </row>
    <row r="5" spans="1:12" s="129" customFormat="1" ht="11.25" x14ac:dyDescent="0.25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8">
        <v>6</v>
      </c>
      <c r="G5" s="158">
        <v>7</v>
      </c>
      <c r="H5" s="158">
        <v>8</v>
      </c>
      <c r="I5" s="158">
        <v>9</v>
      </c>
      <c r="J5" s="158">
        <v>10</v>
      </c>
      <c r="K5" s="158">
        <v>11</v>
      </c>
      <c r="L5" s="158">
        <v>12</v>
      </c>
    </row>
    <row r="6" spans="1:12" s="60" customFormat="1" ht="127.5" x14ac:dyDescent="0.25">
      <c r="A6" s="256" t="str">
        <f>'Свод РЦВК 2020'!D32</f>
        <v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</v>
      </c>
      <c r="B6" s="205">
        <f>№28!H7</f>
        <v>516.23790536897684</v>
      </c>
      <c r="C6" s="205">
        <f>№28!H13</f>
        <v>0</v>
      </c>
      <c r="D6" s="205">
        <f>№28!H19</f>
        <v>12</v>
      </c>
      <c r="E6" s="275">
        <f>'ОХЗ (ЦК)'!$H$11</f>
        <v>0</v>
      </c>
      <c r="F6" s="275">
        <f>'ОХЗ (ЦК)'!$H$20</f>
        <v>0</v>
      </c>
      <c r="G6" s="275">
        <f>'ОХЗ (ЦК)'!$H$30</f>
        <v>0</v>
      </c>
      <c r="H6" s="275">
        <f>'ОХЗ (ЦК)'!$H$37</f>
        <v>0</v>
      </c>
      <c r="I6" s="275">
        <f>'ОХЗ (ЦК)'!$H$41</f>
        <v>0</v>
      </c>
      <c r="J6" s="275">
        <f>'ОХЗ (ЦК)'!$H$47</f>
        <v>0</v>
      </c>
      <c r="K6" s="275">
        <f>'ОХЗ (ЦК)'!$H$83</f>
        <v>619.21194286437208</v>
      </c>
      <c r="L6" s="205">
        <f>ROUND(SUM(B6:K6),2)</f>
        <v>1147.45</v>
      </c>
    </row>
    <row r="18" spans="6:6" x14ac:dyDescent="0.25">
      <c r="F18" s="58"/>
    </row>
  </sheetData>
  <mergeCells count="5">
    <mergeCell ref="A3:A4"/>
    <mergeCell ref="B3:D3"/>
    <mergeCell ref="E3:K3"/>
    <mergeCell ref="L3:L4"/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34"/>
  <sheetViews>
    <sheetView zoomScaleNormal="100" workbookViewId="0">
      <pane xSplit="2" ySplit="4" topLeftCell="C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2" style="60" hidden="1" customWidth="1"/>
    <col min="11" max="11" width="11.5703125" style="60" hidden="1" customWidth="1"/>
    <col min="12" max="16384" width="8.85546875" style="60"/>
  </cols>
  <sheetData>
    <row r="1" spans="1:12" x14ac:dyDescent="0.25">
      <c r="A1" s="1143" t="s">
        <v>1412</v>
      </c>
      <c r="B1" s="1143"/>
      <c r="C1" s="1143"/>
      <c r="D1" s="1143"/>
      <c r="E1" s="1143"/>
      <c r="F1" s="1143"/>
      <c r="G1" s="1143"/>
      <c r="H1" s="1143"/>
      <c r="I1" s="1143"/>
    </row>
    <row r="2" spans="1:12" ht="6" customHeight="1" x14ac:dyDescent="0.25"/>
    <row r="3" spans="1:12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2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2" ht="87" outlineLevel="1" x14ac:dyDescent="0.25">
      <c r="A6" s="20" t="s">
        <v>129</v>
      </c>
      <c r="B6" s="147" t="s">
        <v>157</v>
      </c>
      <c r="C6" s="875">
        <f>J18</f>
        <v>17811</v>
      </c>
      <c r="D6" s="506">
        <f>'Свод РЦВК 2020'!I34</f>
        <v>7008</v>
      </c>
      <c r="E6" s="905">
        <f>C6/D6</f>
        <v>2.5415239726027399</v>
      </c>
      <c r="F6" s="875">
        <v>3032.6574606248032</v>
      </c>
      <c r="G6" s="881">
        <f>K8</f>
        <v>170.26879235443283</v>
      </c>
      <c r="H6" s="23">
        <f>E6*G6</f>
        <v>432.74221755490913</v>
      </c>
      <c r="I6" s="214" t="s">
        <v>1397</v>
      </c>
      <c r="J6" s="60" t="s">
        <v>1311</v>
      </c>
    </row>
    <row r="7" spans="1:12" x14ac:dyDescent="0.25">
      <c r="A7" s="1006" t="s">
        <v>8</v>
      </c>
      <c r="B7" s="1007"/>
      <c r="C7" s="1007"/>
      <c r="D7" s="1007"/>
      <c r="E7" s="1007"/>
      <c r="F7" s="1007"/>
      <c r="G7" s="1123"/>
      <c r="H7" s="122">
        <f>SUM(H6:H6)</f>
        <v>432.74221755490913</v>
      </c>
      <c r="I7" s="447"/>
      <c r="J7" s="59">
        <f>9*1979</f>
        <v>17811</v>
      </c>
      <c r="K7" s="59"/>
      <c r="L7" s="59"/>
    </row>
    <row r="8" spans="1:12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J8" s="59">
        <v>3032657.4606248033</v>
      </c>
      <c r="K8" s="59">
        <f>J8/J7</f>
        <v>170.26879235443283</v>
      </c>
    </row>
    <row r="9" spans="1:12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  <c r="J10" s="60">
        <f>J8/D6</f>
        <v>432.74221755490913</v>
      </c>
    </row>
    <row r="11" spans="1:12" ht="15" customHeight="1" outlineLevel="1" x14ac:dyDescent="0.25">
      <c r="A11" s="19">
        <v>1</v>
      </c>
      <c r="B11" s="147"/>
      <c r="C11" s="148"/>
      <c r="D11" s="556">
        <f>№8!D11</f>
        <v>265212.859</v>
      </c>
      <c r="E11" s="43">
        <f>C11/D11</f>
        <v>0</v>
      </c>
      <c r="F11" s="43">
        <v>1</v>
      </c>
      <c r="G11" s="148">
        <f>SUMIF('МЗ РЦВК'!$B$5:$B$45,$B11,'МЗ РЦВК'!$C$5:$C$45)</f>
        <v>0</v>
      </c>
      <c r="H11" s="121">
        <f>E11*G11/F11</f>
        <v>0</v>
      </c>
      <c r="I11" s="1095" t="s">
        <v>348</v>
      </c>
      <c r="J11" s="60">
        <f>J10/G6</f>
        <v>2.5415239726027399</v>
      </c>
    </row>
    <row r="12" spans="1:12" hidden="1" outlineLevel="1" x14ac:dyDescent="0.25">
      <c r="A12" s="19">
        <v>2</v>
      </c>
      <c r="B12" s="147"/>
      <c r="C12" s="148"/>
      <c r="D12" s="557">
        <f t="shared" ref="D12:D17" si="0">$D$11</f>
        <v>265212.859</v>
      </c>
      <c r="E12" s="43">
        <f t="shared" ref="E12:E15" si="1">C12/D12</f>
        <v>0</v>
      </c>
      <c r="F12" s="43">
        <v>1</v>
      </c>
      <c r="G12" s="148">
        <f>SUMIF('МЗ РЦВК'!$B$5:$B$45,$B12,'МЗ РЦВК'!$C$5:$C$45)</f>
        <v>0</v>
      </c>
      <c r="H12" s="121">
        <f t="shared" ref="H12:H17" si="2">E12*G12/F12</f>
        <v>0</v>
      </c>
      <c r="I12" s="1095"/>
    </row>
    <row r="13" spans="1:12" hidden="1" outlineLevel="1" x14ac:dyDescent="0.25">
      <c r="A13" s="19">
        <v>3</v>
      </c>
      <c r="B13" s="147"/>
      <c r="C13" s="148"/>
      <c r="D13" s="557">
        <f t="shared" si="0"/>
        <v>265212.859</v>
      </c>
      <c r="E13" s="43">
        <f t="shared" si="1"/>
        <v>0</v>
      </c>
      <c r="F13" s="43">
        <v>1</v>
      </c>
      <c r="G13" s="148">
        <f>SUMIF('МЗ РЦВК'!$B$5:$B$45,$B13,'МЗ РЦВК'!$C$5:$C$45)</f>
        <v>0</v>
      </c>
      <c r="H13" s="121">
        <f t="shared" si="2"/>
        <v>0</v>
      </c>
      <c r="I13" s="1095"/>
    </row>
    <row r="14" spans="1:12" ht="27.75" hidden="1" customHeight="1" outlineLevel="1" x14ac:dyDescent="0.25">
      <c r="A14" s="19">
        <v>4</v>
      </c>
      <c r="B14" s="147"/>
      <c r="C14" s="148"/>
      <c r="D14" s="557">
        <f t="shared" si="0"/>
        <v>265212.859</v>
      </c>
      <c r="E14" s="625">
        <f t="shared" si="1"/>
        <v>0</v>
      </c>
      <c r="F14" s="43">
        <v>1</v>
      </c>
      <c r="G14" s="148">
        <f>SUMIF('МЗ РЦВК'!$B$5:$B$45,$B14,'МЗ РЦВК'!$C$5:$C$45)</f>
        <v>0</v>
      </c>
      <c r="H14" s="121">
        <f t="shared" si="2"/>
        <v>0</v>
      </c>
      <c r="I14" s="1095"/>
    </row>
    <row r="15" spans="1:12" ht="15" hidden="1" customHeight="1" outlineLevel="1" x14ac:dyDescent="0.25">
      <c r="A15" s="19">
        <v>5</v>
      </c>
      <c r="B15" s="147"/>
      <c r="C15" s="148"/>
      <c r="D15" s="557">
        <f t="shared" si="0"/>
        <v>265212.859</v>
      </c>
      <c r="E15" s="43">
        <f t="shared" si="1"/>
        <v>0</v>
      </c>
      <c r="F15" s="43">
        <v>1</v>
      </c>
      <c r="G15" s="148">
        <f>SUMIF('МЗ РЦВК'!$B$5:$B$45,$B15,'МЗ РЦВК'!$C$5:$C$45)</f>
        <v>0</v>
      </c>
      <c r="H15" s="121">
        <f t="shared" si="2"/>
        <v>0</v>
      </c>
      <c r="I15" s="1095"/>
    </row>
    <row r="16" spans="1:12" hidden="1" outlineLevel="1" x14ac:dyDescent="0.25">
      <c r="A16" s="19">
        <v>6</v>
      </c>
      <c r="B16" s="147"/>
      <c r="C16" s="148"/>
      <c r="D16" s="557">
        <f t="shared" si="0"/>
        <v>265212.859</v>
      </c>
      <c r="E16" s="43">
        <f>C16/D16</f>
        <v>0</v>
      </c>
      <c r="F16" s="43">
        <v>1</v>
      </c>
      <c r="G16" s="148">
        <f>SUMIF('МЗ РЦВК'!$B$5:$B$45,$B16,'МЗ РЦВК'!$C$5:$C$45)</f>
        <v>0</v>
      </c>
      <c r="H16" s="121">
        <f t="shared" si="2"/>
        <v>0</v>
      </c>
      <c r="I16" s="1095"/>
    </row>
    <row r="17" spans="1:11" hidden="1" outlineLevel="1" x14ac:dyDescent="0.25">
      <c r="A17" s="19">
        <v>7</v>
      </c>
      <c r="B17" s="147"/>
      <c r="C17" s="148"/>
      <c r="D17" s="557">
        <f t="shared" si="0"/>
        <v>265212.859</v>
      </c>
      <c r="E17" s="43">
        <f>C17/D17</f>
        <v>0</v>
      </c>
      <c r="F17" s="43">
        <v>1</v>
      </c>
      <c r="G17" s="148">
        <f>SUMIF('МЗ РЦВК'!$B$5:$B$45,$B17,'МЗ РЦВК'!$C$5:$C$45)</f>
        <v>0</v>
      </c>
      <c r="H17" s="121">
        <f t="shared" si="2"/>
        <v>0</v>
      </c>
      <c r="I17" s="1095"/>
    </row>
    <row r="18" spans="1:11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ROUND(SUM(H11:H17),2)</f>
        <v>0</v>
      </c>
      <c r="I18" s="1095"/>
      <c r="J18" s="59">
        <f>J11*D6</f>
        <v>17811</v>
      </c>
    </row>
    <row r="19" spans="1:11" s="123" customFormat="1" ht="67.5" x14ac:dyDescent="0.25">
      <c r="A19" s="141" t="s">
        <v>0</v>
      </c>
      <c r="B19" s="141" t="s">
        <v>9</v>
      </c>
      <c r="C19" s="900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11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11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11" ht="30" outlineLevel="1" x14ac:dyDescent="0.25">
      <c r="A22" s="485">
        <v>1</v>
      </c>
      <c r="B22" s="494" t="s">
        <v>1315</v>
      </c>
      <c r="C22" s="481">
        <v>7008</v>
      </c>
      <c r="D22" s="481">
        <f>$D$6</f>
        <v>7008</v>
      </c>
      <c r="E22" s="486">
        <f>D22/C22</f>
        <v>1</v>
      </c>
      <c r="F22" s="486">
        <v>1</v>
      </c>
      <c r="G22" s="488">
        <f>J22/D22</f>
        <v>4.4948630136986303</v>
      </c>
      <c r="H22" s="488">
        <f>E22*G22/F22</f>
        <v>4.4948630136986303</v>
      </c>
      <c r="I22" s="1118"/>
      <c r="J22" s="912">
        <v>31500</v>
      </c>
    </row>
    <row r="23" spans="1:11" ht="30" outlineLevel="1" x14ac:dyDescent="0.25">
      <c r="A23" s="485">
        <v>2</v>
      </c>
      <c r="B23" s="494" t="s">
        <v>1316</v>
      </c>
      <c r="C23" s="481">
        <v>7008</v>
      </c>
      <c r="D23" s="481">
        <f t="shared" ref="D23:D30" si="3">$D$6</f>
        <v>7008</v>
      </c>
      <c r="E23" s="486">
        <f t="shared" ref="E23:E27" si="4">D23/C23</f>
        <v>1</v>
      </c>
      <c r="F23" s="486">
        <v>1</v>
      </c>
      <c r="G23" s="488">
        <f t="shared" ref="G23:G27" si="5">J23/D23</f>
        <v>30.432933789954337</v>
      </c>
      <c r="H23" s="488">
        <f t="shared" ref="H23:H30" si="6">E23*G23/F23</f>
        <v>30.432933789954337</v>
      </c>
      <c r="I23" s="1103"/>
      <c r="J23" s="912">
        <v>213274</v>
      </c>
    </row>
    <row r="24" spans="1:11" ht="30" outlineLevel="1" x14ac:dyDescent="0.25">
      <c r="A24" s="485">
        <v>3</v>
      </c>
      <c r="B24" s="494" t="s">
        <v>1317</v>
      </c>
      <c r="C24" s="481">
        <v>7008</v>
      </c>
      <c r="D24" s="481">
        <f t="shared" si="3"/>
        <v>7008</v>
      </c>
      <c r="E24" s="486">
        <f t="shared" si="4"/>
        <v>1</v>
      </c>
      <c r="F24" s="486">
        <v>1</v>
      </c>
      <c r="G24" s="488">
        <f t="shared" si="5"/>
        <v>20.813356164383563</v>
      </c>
      <c r="H24" s="488">
        <f t="shared" si="6"/>
        <v>20.813356164383563</v>
      </c>
      <c r="I24" s="1103"/>
      <c r="J24" s="912">
        <v>145860</v>
      </c>
    </row>
    <row r="25" spans="1:11" outlineLevel="1" x14ac:dyDescent="0.25">
      <c r="A25" s="485">
        <v>4</v>
      </c>
      <c r="B25" s="494" t="s">
        <v>1318</v>
      </c>
      <c r="C25" s="481">
        <v>7008</v>
      </c>
      <c r="D25" s="481">
        <f t="shared" si="3"/>
        <v>7008</v>
      </c>
      <c r="E25" s="486">
        <f t="shared" si="4"/>
        <v>1</v>
      </c>
      <c r="F25" s="486">
        <v>1</v>
      </c>
      <c r="G25" s="488">
        <f t="shared" si="5"/>
        <v>142.69406392694063</v>
      </c>
      <c r="H25" s="488">
        <f t="shared" si="6"/>
        <v>142.69406392694063</v>
      </c>
      <c r="I25" s="1103"/>
      <c r="J25" s="912">
        <v>1000000</v>
      </c>
    </row>
    <row r="26" spans="1:11" ht="45" outlineLevel="1" x14ac:dyDescent="0.25">
      <c r="A26" s="485">
        <v>5</v>
      </c>
      <c r="B26" s="494" t="s">
        <v>1319</v>
      </c>
      <c r="C26" s="481">
        <v>7008</v>
      </c>
      <c r="D26" s="481">
        <f t="shared" si="3"/>
        <v>7008</v>
      </c>
      <c r="E26" s="486">
        <f t="shared" si="4"/>
        <v>1</v>
      </c>
      <c r="F26" s="486">
        <v>1</v>
      </c>
      <c r="G26" s="488">
        <f t="shared" si="5"/>
        <v>49.300799086757991</v>
      </c>
      <c r="H26" s="488">
        <f t="shared" si="6"/>
        <v>49.300799086757991</v>
      </c>
      <c r="I26" s="1103"/>
      <c r="J26" s="912">
        <v>345500</v>
      </c>
    </row>
    <row r="27" spans="1:11" outlineLevel="1" x14ac:dyDescent="0.25">
      <c r="A27" s="485">
        <v>6</v>
      </c>
      <c r="B27" s="494" t="s">
        <v>1320</v>
      </c>
      <c r="C27" s="481">
        <v>7008</v>
      </c>
      <c r="D27" s="481">
        <f t="shared" si="3"/>
        <v>7008</v>
      </c>
      <c r="E27" s="486">
        <f t="shared" si="4"/>
        <v>1</v>
      </c>
      <c r="F27" s="486">
        <v>1</v>
      </c>
      <c r="G27" s="488">
        <f t="shared" si="5"/>
        <v>10.056008847031963</v>
      </c>
      <c r="H27" s="488">
        <f t="shared" si="6"/>
        <v>10.056008847031963</v>
      </c>
      <c r="I27" s="1103"/>
      <c r="J27" s="912">
        <f>70000+472.51</f>
        <v>70472.509999999995</v>
      </c>
    </row>
    <row r="28" spans="1:11" outlineLevel="1" x14ac:dyDescent="0.25">
      <c r="A28" s="485">
        <v>7</v>
      </c>
      <c r="B28" s="494" t="s">
        <v>1391</v>
      </c>
      <c r="C28" s="481">
        <v>7008</v>
      </c>
      <c r="D28" s="481">
        <f t="shared" si="3"/>
        <v>7008</v>
      </c>
      <c r="E28" s="486">
        <f t="shared" ref="E28:E30" si="7">D28/C28</f>
        <v>1</v>
      </c>
      <c r="F28" s="486">
        <v>1</v>
      </c>
      <c r="G28" s="488">
        <f t="shared" ref="G28:G30" si="8">J28/D28</f>
        <v>14.383561643835616</v>
      </c>
      <c r="H28" s="488">
        <f t="shared" si="6"/>
        <v>14.383561643835616</v>
      </c>
      <c r="I28" s="1103"/>
      <c r="J28" s="912">
        <v>100800</v>
      </c>
    </row>
    <row r="29" spans="1:11" ht="30" outlineLevel="1" x14ac:dyDescent="0.25">
      <c r="A29" s="485">
        <v>8</v>
      </c>
      <c r="B29" s="494" t="s">
        <v>1393</v>
      </c>
      <c r="C29" s="481">
        <v>7008</v>
      </c>
      <c r="D29" s="481">
        <f t="shared" si="3"/>
        <v>7008</v>
      </c>
      <c r="E29" s="486">
        <f t="shared" si="7"/>
        <v>1</v>
      </c>
      <c r="F29" s="486">
        <v>1</v>
      </c>
      <c r="G29" s="488">
        <f t="shared" si="8"/>
        <v>6.4925799086757987</v>
      </c>
      <c r="H29" s="488">
        <f t="shared" si="6"/>
        <v>6.4925799086757987</v>
      </c>
      <c r="I29" s="1103"/>
      <c r="J29" s="912">
        <v>45500</v>
      </c>
    </row>
    <row r="30" spans="1:11" outlineLevel="1" x14ac:dyDescent="0.25">
      <c r="A30" s="485">
        <v>9</v>
      </c>
      <c r="B30" s="494" t="s">
        <v>1392</v>
      </c>
      <c r="C30" s="481">
        <v>7008</v>
      </c>
      <c r="D30" s="481">
        <f t="shared" si="3"/>
        <v>7008</v>
      </c>
      <c r="E30" s="486">
        <f t="shared" si="7"/>
        <v>1</v>
      </c>
      <c r="F30" s="486">
        <v>1</v>
      </c>
      <c r="G30" s="488">
        <f t="shared" si="8"/>
        <v>2.2545662100456623</v>
      </c>
      <c r="H30" s="488">
        <f t="shared" si="6"/>
        <v>2.2545662100456623</v>
      </c>
      <c r="I30" s="1103"/>
      <c r="J30" s="912">
        <v>15800</v>
      </c>
    </row>
    <row r="31" spans="1:11" ht="15" customHeight="1" x14ac:dyDescent="0.25">
      <c r="A31" s="1120" t="s">
        <v>17</v>
      </c>
      <c r="B31" s="1121"/>
      <c r="C31" s="1121"/>
      <c r="D31" s="1121"/>
      <c r="E31" s="1121"/>
      <c r="F31" s="1121"/>
      <c r="G31" s="1122"/>
      <c r="H31" s="122">
        <f>SUM(H22:H30)</f>
        <v>280.92273259132418</v>
      </c>
      <c r="I31" s="1119"/>
      <c r="J31" s="906">
        <f>SUM(J22:J30)</f>
        <v>1968706.51</v>
      </c>
      <c r="K31" s="906">
        <f>H31*D30</f>
        <v>1968706.5099999998</v>
      </c>
    </row>
    <row r="32" spans="1:11" x14ac:dyDescent="0.25">
      <c r="A32" s="1127" t="s">
        <v>18</v>
      </c>
      <c r="B32" s="1128"/>
      <c r="C32" s="1128"/>
      <c r="D32" s="1128"/>
      <c r="E32" s="1128"/>
      <c r="F32" s="1128"/>
      <c r="G32" s="1129"/>
      <c r="H32" s="498">
        <f>H31+H18+H7</f>
        <v>713.66495014623331</v>
      </c>
      <c r="I32" s="43"/>
      <c r="K32" s="59">
        <f>J31-K31</f>
        <v>0</v>
      </c>
    </row>
    <row r="34" spans="10:10" x14ac:dyDescent="0.25">
      <c r="J34" s="59">
        <f>J31+J8</f>
        <v>5001363.9706248036</v>
      </c>
    </row>
  </sheetData>
  <mergeCells count="9">
    <mergeCell ref="I22:I31"/>
    <mergeCell ref="A31:G31"/>
    <mergeCell ref="A32:G32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4" t="s">
        <v>1385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51" x14ac:dyDescent="0.25">
      <c r="A6" s="130" t="str">
        <f>'Свод РЦВК 2020'!D34</f>
        <v>Автотранспортное обслуживание должностных лиц государственных органов и государственных учреждений</v>
      </c>
      <c r="B6" s="133">
        <f>№29!H7</f>
        <v>432.74221755490913</v>
      </c>
      <c r="C6" s="133">
        <f>№29!H18</f>
        <v>0</v>
      </c>
      <c r="D6" s="133">
        <f>№29!H31</f>
        <v>280.92273259132418</v>
      </c>
      <c r="E6" s="275"/>
      <c r="F6" s="275"/>
      <c r="G6" s="275"/>
      <c r="H6" s="275"/>
      <c r="I6" s="275"/>
      <c r="J6" s="275"/>
      <c r="K6" s="275"/>
      <c r="L6" s="133">
        <f>SUM(B6:K6)</f>
        <v>713.66495014623331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2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6" sqref="A26:XFD28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hidden="1" customWidth="1"/>
  </cols>
  <sheetData>
    <row r="1" spans="1:13" x14ac:dyDescent="0.25">
      <c r="A1" s="1143" t="s">
        <v>1412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3" ht="6" customHeight="1" x14ac:dyDescent="0.25"/>
    <row r="3" spans="1:13" ht="15" customHeight="1" x14ac:dyDescent="0.25">
      <c r="A3" s="1158" t="s">
        <v>0</v>
      </c>
      <c r="B3" s="1158" t="s">
        <v>62</v>
      </c>
      <c r="C3" s="1158" t="s">
        <v>1419</v>
      </c>
      <c r="D3" s="1158" t="s">
        <v>1430</v>
      </c>
      <c r="E3" s="1158"/>
      <c r="F3" s="1158"/>
      <c r="G3" s="1158"/>
      <c r="H3" s="1156" t="s">
        <v>1436</v>
      </c>
      <c r="I3" s="1158" t="s">
        <v>1428</v>
      </c>
      <c r="J3" s="1158" t="s">
        <v>3</v>
      </c>
      <c r="K3" s="1145" t="s">
        <v>4</v>
      </c>
    </row>
    <row r="4" spans="1:13" x14ac:dyDescent="0.25">
      <c r="A4" s="1158"/>
      <c r="B4" s="1158"/>
      <c r="C4" s="1158"/>
      <c r="D4" s="1157" t="s">
        <v>944</v>
      </c>
      <c r="E4" s="1158" t="s">
        <v>1420</v>
      </c>
      <c r="F4" s="1158"/>
      <c r="G4" s="1158"/>
      <c r="H4" s="1156"/>
      <c r="I4" s="1158"/>
      <c r="J4" s="1158"/>
      <c r="K4" s="1145"/>
    </row>
    <row r="5" spans="1:13" ht="38.25" x14ac:dyDescent="0.25">
      <c r="A5" s="1158"/>
      <c r="B5" s="1158"/>
      <c r="C5" s="1158"/>
      <c r="D5" s="1157"/>
      <c r="E5" s="967" t="s">
        <v>1421</v>
      </c>
      <c r="F5" s="967" t="s">
        <v>1422</v>
      </c>
      <c r="G5" s="967" t="s">
        <v>1423</v>
      </c>
      <c r="H5" s="1156"/>
      <c r="I5" s="1158"/>
      <c r="J5" s="1158"/>
      <c r="K5" s="1145"/>
    </row>
    <row r="6" spans="1:13" s="961" customFormat="1" ht="11.25" x14ac:dyDescent="0.2">
      <c r="A6" s="957">
        <v>1</v>
      </c>
      <c r="B6" s="957">
        <v>2</v>
      </c>
      <c r="C6" s="957">
        <v>3</v>
      </c>
      <c r="D6" s="957" t="s">
        <v>1433</v>
      </c>
      <c r="E6" s="957">
        <v>5</v>
      </c>
      <c r="F6" s="957">
        <v>6</v>
      </c>
      <c r="G6" s="957">
        <v>7</v>
      </c>
      <c r="H6" s="957" t="s">
        <v>1432</v>
      </c>
      <c r="I6" s="957">
        <v>9</v>
      </c>
      <c r="J6" s="957" t="s">
        <v>1434</v>
      </c>
      <c r="K6" s="957">
        <v>11</v>
      </c>
    </row>
    <row r="7" spans="1:13" ht="51" outlineLevel="1" x14ac:dyDescent="0.25">
      <c r="A7" s="958">
        <v>1</v>
      </c>
      <c r="B7" s="959" t="s">
        <v>1424</v>
      </c>
      <c r="C7" s="1168"/>
      <c r="D7" s="960">
        <f>E7+F7+G7</f>
        <v>21566.944448887778</v>
      </c>
      <c r="E7" s="960">
        <v>4882</v>
      </c>
      <c r="F7" s="960">
        <v>8112.6124155555553</v>
      </c>
      <c r="G7" s="960">
        <v>8572.3320333322208</v>
      </c>
      <c r="H7" s="960">
        <f>C7*D7*12</f>
        <v>0</v>
      </c>
      <c r="I7" s="962">
        <f>'Свод РЦВК 2020'!I34</f>
        <v>7008</v>
      </c>
      <c r="J7" s="960">
        <f>H7/I7</f>
        <v>0</v>
      </c>
      <c r="K7" s="1173"/>
    </row>
    <row r="8" spans="1:13" ht="63.75" outlineLevel="1" x14ac:dyDescent="0.25">
      <c r="A8" s="958">
        <v>2</v>
      </c>
      <c r="B8" s="959" t="s">
        <v>1427</v>
      </c>
      <c r="C8" s="1169"/>
      <c r="D8" s="960">
        <f t="shared" ref="D8" si="0">E8+F8+G8</f>
        <v>6513.2172235641083</v>
      </c>
      <c r="E8" s="960">
        <f>E7*30.2%</f>
        <v>1474.364</v>
      </c>
      <c r="F8" s="960">
        <f t="shared" ref="F8:G8" si="1">F7*30.2%</f>
        <v>2450.0089494977778</v>
      </c>
      <c r="G8" s="960">
        <f t="shared" si="1"/>
        <v>2588.8442740663304</v>
      </c>
      <c r="H8" s="960">
        <f>C7*D8*12</f>
        <v>0</v>
      </c>
      <c r="I8" s="481">
        <f>$I$7</f>
        <v>7008</v>
      </c>
      <c r="J8" s="960">
        <f>H8/I8</f>
        <v>0</v>
      </c>
      <c r="K8" s="1174"/>
    </row>
    <row r="9" spans="1:13" x14ac:dyDescent="0.25">
      <c r="A9" s="1098" t="s">
        <v>8</v>
      </c>
      <c r="B9" s="1098"/>
      <c r="C9" s="1098"/>
      <c r="D9" s="1098"/>
      <c r="E9" s="1098"/>
      <c r="F9" s="1098"/>
      <c r="G9" s="1098"/>
      <c r="H9" s="964">
        <f>H7+H8</f>
        <v>0</v>
      </c>
      <c r="I9" s="964">
        <f>I7</f>
        <v>7008</v>
      </c>
      <c r="J9" s="964">
        <f t="shared" ref="J9" si="2">J7+J8</f>
        <v>0</v>
      </c>
      <c r="K9" s="963"/>
    </row>
    <row r="10" spans="1:13" x14ac:dyDescent="0.25">
      <c r="A10" s="1146" t="s">
        <v>1425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8"/>
    </row>
    <row r="11" spans="1:13" ht="63.75" x14ac:dyDescent="0.25">
      <c r="A11" s="966" t="s">
        <v>0</v>
      </c>
      <c r="B11" s="1153" t="s">
        <v>1431</v>
      </c>
      <c r="C11" s="1154"/>
      <c r="D11" s="1155"/>
      <c r="E11" s="1149" t="s">
        <v>1429</v>
      </c>
      <c r="F11" s="1150"/>
      <c r="G11" s="477" t="s">
        <v>939</v>
      </c>
      <c r="H11" s="476" t="s">
        <v>1436</v>
      </c>
      <c r="I11" s="476" t="s">
        <v>1428</v>
      </c>
      <c r="J11" s="477" t="s">
        <v>3</v>
      </c>
      <c r="K11" s="477" t="s">
        <v>4</v>
      </c>
    </row>
    <row r="12" spans="1:13" s="961" customFormat="1" ht="11.25" x14ac:dyDescent="0.2">
      <c r="A12" s="957">
        <v>1</v>
      </c>
      <c r="B12" s="1170">
        <v>2</v>
      </c>
      <c r="C12" s="1171"/>
      <c r="D12" s="1172"/>
      <c r="E12" s="1170">
        <v>3</v>
      </c>
      <c r="F12" s="1172"/>
      <c r="G12" s="957">
        <v>4</v>
      </c>
      <c r="H12" s="957">
        <v>5</v>
      </c>
      <c r="I12" s="957">
        <v>6</v>
      </c>
      <c r="J12" s="957">
        <v>7</v>
      </c>
      <c r="K12" s="957">
        <v>8</v>
      </c>
      <c r="L12" s="1166" t="s">
        <v>958</v>
      </c>
      <c r="M12" s="1167"/>
    </row>
    <row r="13" spans="1:13" outlineLevel="1" x14ac:dyDescent="0.25">
      <c r="A13" s="958">
        <v>1</v>
      </c>
      <c r="B13" s="1159" t="s">
        <v>1315</v>
      </c>
      <c r="C13" s="1160"/>
      <c r="D13" s="1161"/>
      <c r="E13" s="1162"/>
      <c r="F13" s="1163"/>
      <c r="G13" s="960"/>
      <c r="H13" s="960"/>
      <c r="I13" s="481">
        <f>$I$7</f>
        <v>7008</v>
      </c>
      <c r="J13" s="960">
        <f>H13/I13</f>
        <v>0</v>
      </c>
      <c r="K13" s="969"/>
      <c r="L13" s="165">
        <f>E13*G13</f>
        <v>0</v>
      </c>
      <c r="M13" s="165">
        <f>L13-H13</f>
        <v>0</v>
      </c>
    </row>
    <row r="14" spans="1:13" ht="25.5" outlineLevel="1" x14ac:dyDescent="0.25">
      <c r="A14" s="958">
        <v>2</v>
      </c>
      <c r="B14" s="1159" t="s">
        <v>1316</v>
      </c>
      <c r="C14" s="1160"/>
      <c r="D14" s="1161"/>
      <c r="E14" s="1162"/>
      <c r="F14" s="1163"/>
      <c r="G14" s="960"/>
      <c r="H14" s="960"/>
      <c r="I14" s="481">
        <f t="shared" ref="I14:I22" si="3">$I$7</f>
        <v>7008</v>
      </c>
      <c r="J14" s="960">
        <f t="shared" ref="J14:J22" si="4">H14/I14</f>
        <v>0</v>
      </c>
      <c r="K14" s="969" t="s">
        <v>1438</v>
      </c>
      <c r="L14" s="165">
        <f t="shared" ref="L14:L22" si="5">E14*G14</f>
        <v>0</v>
      </c>
      <c r="M14" s="165">
        <f t="shared" ref="M14:M22" si="6">L14-H14</f>
        <v>0</v>
      </c>
    </row>
    <row r="15" spans="1:13" ht="25.5" outlineLevel="1" x14ac:dyDescent="0.25">
      <c r="A15" s="958">
        <v>3</v>
      </c>
      <c r="B15" s="1159" t="s">
        <v>1317</v>
      </c>
      <c r="C15" s="1160"/>
      <c r="D15" s="1161"/>
      <c r="E15" s="1162"/>
      <c r="F15" s="1163"/>
      <c r="G15" s="960"/>
      <c r="H15" s="960"/>
      <c r="I15" s="481">
        <f t="shared" si="3"/>
        <v>7008</v>
      </c>
      <c r="J15" s="960">
        <f t="shared" si="4"/>
        <v>0</v>
      </c>
      <c r="K15" s="969" t="s">
        <v>1437</v>
      </c>
      <c r="L15" s="165">
        <f t="shared" si="5"/>
        <v>0</v>
      </c>
      <c r="M15" s="165">
        <f t="shared" si="6"/>
        <v>0</v>
      </c>
    </row>
    <row r="16" spans="1:13" outlineLevel="1" x14ac:dyDescent="0.25">
      <c r="A16" s="958">
        <v>4</v>
      </c>
      <c r="B16" s="1159" t="s">
        <v>1391</v>
      </c>
      <c r="C16" s="1160"/>
      <c r="D16" s="1161"/>
      <c r="E16" s="1162"/>
      <c r="F16" s="1163"/>
      <c r="G16" s="960"/>
      <c r="H16" s="960"/>
      <c r="I16" s="481">
        <f t="shared" si="3"/>
        <v>7008</v>
      </c>
      <c r="J16" s="960">
        <f>H16/I16</f>
        <v>0</v>
      </c>
      <c r="K16" s="969"/>
      <c r="L16" s="165">
        <f>E16*G16</f>
        <v>0</v>
      </c>
      <c r="M16" s="165">
        <f>L16-H16</f>
        <v>0</v>
      </c>
    </row>
    <row r="17" spans="1:13" ht="25.5" outlineLevel="1" x14ac:dyDescent="0.25">
      <c r="A17" s="958">
        <v>5</v>
      </c>
      <c r="B17" s="1159" t="s">
        <v>1318</v>
      </c>
      <c r="C17" s="1160"/>
      <c r="D17" s="1161"/>
      <c r="E17" s="1164">
        <f>H17/G17</f>
        <v>26836.12786878207</v>
      </c>
      <c r="F17" s="1165"/>
      <c r="G17" s="960">
        <f>35.83*1.04</f>
        <v>37.263199999999998</v>
      </c>
      <c r="H17" s="960">
        <v>1000000</v>
      </c>
      <c r="I17" s="481">
        <f t="shared" si="3"/>
        <v>7008</v>
      </c>
      <c r="J17" s="960">
        <f t="shared" si="4"/>
        <v>142.69406392694063</v>
      </c>
      <c r="K17" s="969" t="s">
        <v>1446</v>
      </c>
      <c r="L17" s="165">
        <f t="shared" si="5"/>
        <v>1000000</v>
      </c>
      <c r="M17" s="165">
        <f t="shared" si="6"/>
        <v>0</v>
      </c>
    </row>
    <row r="18" spans="1:13" ht="30" customHeight="1" outlineLevel="1" x14ac:dyDescent="0.25">
      <c r="A18" s="958">
        <v>6</v>
      </c>
      <c r="B18" s="1159" t="s">
        <v>1319</v>
      </c>
      <c r="C18" s="1160"/>
      <c r="D18" s="1161"/>
      <c r="E18" s="1162" t="s">
        <v>399</v>
      </c>
      <c r="F18" s="1163"/>
      <c r="G18" s="971" t="s">
        <v>399</v>
      </c>
      <c r="H18" s="960">
        <v>300000</v>
      </c>
      <c r="I18" s="481">
        <f t="shared" si="3"/>
        <v>7008</v>
      </c>
      <c r="J18" s="960">
        <f t="shared" si="4"/>
        <v>42.80821917808219</v>
      </c>
      <c r="K18" s="969" t="s">
        <v>1439</v>
      </c>
      <c r="L18" s="165"/>
      <c r="M18" s="165"/>
    </row>
    <row r="19" spans="1:13" outlineLevel="1" x14ac:dyDescent="0.25">
      <c r="A19" s="958">
        <v>7</v>
      </c>
      <c r="B19" s="1159" t="s">
        <v>1393</v>
      </c>
      <c r="C19" s="1160"/>
      <c r="D19" s="1161"/>
      <c r="E19" s="1162" t="s">
        <v>399</v>
      </c>
      <c r="F19" s="1163"/>
      <c r="G19" s="971" t="s">
        <v>399</v>
      </c>
      <c r="H19" s="960">
        <v>45500</v>
      </c>
      <c r="I19" s="481">
        <f t="shared" si="3"/>
        <v>7008</v>
      </c>
      <c r="J19" s="960">
        <f>H19/I19</f>
        <v>6.4925799086757987</v>
      </c>
      <c r="K19" s="969" t="s">
        <v>1439</v>
      </c>
      <c r="L19" s="165"/>
      <c r="M19" s="165"/>
    </row>
    <row r="20" spans="1:13" ht="25.5" outlineLevel="1" x14ac:dyDescent="0.25">
      <c r="A20" s="958">
        <v>8</v>
      </c>
      <c r="B20" s="1159" t="s">
        <v>1320</v>
      </c>
      <c r="C20" s="1160"/>
      <c r="D20" s="1161"/>
      <c r="E20" s="1162">
        <v>9</v>
      </c>
      <c r="F20" s="1163"/>
      <c r="G20" s="960">
        <f>H20/E20</f>
        <v>7777.7777777777774</v>
      </c>
      <c r="H20" s="960">
        <f>70000</f>
        <v>70000</v>
      </c>
      <c r="I20" s="481">
        <f t="shared" si="3"/>
        <v>7008</v>
      </c>
      <c r="J20" s="960">
        <f t="shared" si="4"/>
        <v>9.9885844748858439</v>
      </c>
      <c r="K20" s="969" t="s">
        <v>1446</v>
      </c>
      <c r="L20" s="165">
        <f t="shared" si="5"/>
        <v>70000</v>
      </c>
      <c r="M20" s="165">
        <f t="shared" si="6"/>
        <v>0</v>
      </c>
    </row>
    <row r="21" spans="1:13" ht="25.5" outlineLevel="1" x14ac:dyDescent="0.25">
      <c r="A21" s="958">
        <v>9</v>
      </c>
      <c r="B21" s="1159" t="s">
        <v>1449</v>
      </c>
      <c r="C21" s="1160"/>
      <c r="D21" s="1161"/>
      <c r="E21" s="1162">
        <v>1</v>
      </c>
      <c r="F21" s="1163"/>
      <c r="G21" s="960">
        <f>H21/E21</f>
        <v>600000</v>
      </c>
      <c r="H21" s="960">
        <v>600000</v>
      </c>
      <c r="I21" s="481">
        <f t="shared" si="3"/>
        <v>7008</v>
      </c>
      <c r="J21" s="960">
        <f t="shared" ref="J21" si="7">H21/I21</f>
        <v>85.61643835616438</v>
      </c>
      <c r="K21" s="969" t="s">
        <v>1446</v>
      </c>
      <c r="L21" s="165"/>
      <c r="M21" s="165"/>
    </row>
    <row r="22" spans="1:13" ht="25.5" outlineLevel="1" x14ac:dyDescent="0.25">
      <c r="A22" s="958">
        <v>10</v>
      </c>
      <c r="B22" s="1159" t="s">
        <v>1392</v>
      </c>
      <c r="C22" s="1160"/>
      <c r="D22" s="1161"/>
      <c r="E22" s="1162">
        <f>E20</f>
        <v>9</v>
      </c>
      <c r="F22" s="1163"/>
      <c r="G22" s="960">
        <f>H22/E22</f>
        <v>1755.5555555555557</v>
      </c>
      <c r="H22" s="960">
        <v>15800</v>
      </c>
      <c r="I22" s="481">
        <f t="shared" si="3"/>
        <v>7008</v>
      </c>
      <c r="J22" s="960">
        <f t="shared" si="4"/>
        <v>2.2545662100456623</v>
      </c>
      <c r="K22" s="969" t="s">
        <v>1446</v>
      </c>
      <c r="L22" s="165">
        <f t="shared" si="5"/>
        <v>15800</v>
      </c>
      <c r="M22" s="165">
        <f t="shared" si="6"/>
        <v>0</v>
      </c>
    </row>
    <row r="23" spans="1:13" x14ac:dyDescent="0.25">
      <c r="A23" s="1098" t="s">
        <v>1435</v>
      </c>
      <c r="B23" s="1098"/>
      <c r="C23" s="1098"/>
      <c r="D23" s="1098"/>
      <c r="E23" s="1098"/>
      <c r="F23" s="1098"/>
      <c r="G23" s="1098"/>
      <c r="H23" s="964">
        <f>SUM(H13:H22)</f>
        <v>2031300</v>
      </c>
      <c r="I23" s="964">
        <f>I7</f>
        <v>7008</v>
      </c>
      <c r="J23" s="964">
        <f>SUM(J13:J22)</f>
        <v>289.85445205479448</v>
      </c>
      <c r="K23" s="970"/>
    </row>
    <row r="24" spans="1:13" x14ac:dyDescent="0.25">
      <c r="A24" s="1151" t="s">
        <v>1426</v>
      </c>
      <c r="B24" s="1152"/>
      <c r="C24" s="1152"/>
      <c r="D24" s="1152"/>
      <c r="E24" s="1152"/>
      <c r="F24" s="1152"/>
      <c r="G24" s="1152"/>
      <c r="H24" s="968">
        <f>H23+H9</f>
        <v>2031300</v>
      </c>
      <c r="I24" s="965">
        <f>I7</f>
        <v>7008</v>
      </c>
      <c r="J24" s="965">
        <f>J23+J9</f>
        <v>289.85445205479448</v>
      </c>
      <c r="K24" s="970"/>
      <c r="L24" s="499">
        <f>J24-№29!H32</f>
        <v>-423.81049809143883</v>
      </c>
    </row>
    <row r="26" spans="1:13" hidden="1" x14ac:dyDescent="0.25">
      <c r="H26" s="499">
        <f>H23+'№32 раб.'!H45</f>
        <v>3665200</v>
      </c>
      <c r="I26" s="499">
        <v>3665200</v>
      </c>
    </row>
    <row r="27" spans="1:13" hidden="1" x14ac:dyDescent="0.25">
      <c r="I27" s="499">
        <f>I26-H26</f>
        <v>0</v>
      </c>
    </row>
    <row r="28" spans="1:13" hidden="1" x14ac:dyDescent="0.25"/>
  </sheetData>
  <mergeCells count="42">
    <mergeCell ref="E21:F21"/>
    <mergeCell ref="L12:M12"/>
    <mergeCell ref="C7:C8"/>
    <mergeCell ref="B16:D16"/>
    <mergeCell ref="E16:F16"/>
    <mergeCell ref="B19:D19"/>
    <mergeCell ref="E19:F19"/>
    <mergeCell ref="B12:D12"/>
    <mergeCell ref="E12:F12"/>
    <mergeCell ref="K7:K8"/>
    <mergeCell ref="A23:G23"/>
    <mergeCell ref="B13:D13"/>
    <mergeCell ref="E13:F13"/>
    <mergeCell ref="B14:D14"/>
    <mergeCell ref="E14:F14"/>
    <mergeCell ref="B15:D15"/>
    <mergeCell ref="B22:D22"/>
    <mergeCell ref="E22:F22"/>
    <mergeCell ref="E15:F15"/>
    <mergeCell ref="B17:D17"/>
    <mergeCell ref="E17:F17"/>
    <mergeCell ref="B18:D18"/>
    <mergeCell ref="E18:F18"/>
    <mergeCell ref="B20:D20"/>
    <mergeCell ref="E20:F20"/>
    <mergeCell ref="B21:D21"/>
    <mergeCell ref="A1:K1"/>
    <mergeCell ref="K3:K5"/>
    <mergeCell ref="A10:K10"/>
    <mergeCell ref="E11:F11"/>
    <mergeCell ref="A24:G24"/>
    <mergeCell ref="B11:D11"/>
    <mergeCell ref="H3:H5"/>
    <mergeCell ref="D4:D5"/>
    <mergeCell ref="E4:G4"/>
    <mergeCell ref="I3:I5"/>
    <mergeCell ref="A9:G9"/>
    <mergeCell ref="J3:J5"/>
    <mergeCell ref="A3:A5"/>
    <mergeCell ref="B3:B5"/>
    <mergeCell ref="C3:C5"/>
    <mergeCell ref="D3:G3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2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7" sqref="I7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hidden="1" customWidth="1"/>
  </cols>
  <sheetData>
    <row r="1" spans="1:13" x14ac:dyDescent="0.25">
      <c r="A1" s="1143" t="s">
        <v>1412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3" ht="6" customHeight="1" x14ac:dyDescent="0.25"/>
    <row r="3" spans="1:13" ht="15" customHeight="1" x14ac:dyDescent="0.25">
      <c r="A3" s="1158" t="s">
        <v>0</v>
      </c>
      <c r="B3" s="1158" t="s">
        <v>62</v>
      </c>
      <c r="C3" s="1158" t="s">
        <v>1419</v>
      </c>
      <c r="D3" s="1158" t="s">
        <v>1430</v>
      </c>
      <c r="E3" s="1158"/>
      <c r="F3" s="1158"/>
      <c r="G3" s="1158"/>
      <c r="H3" s="1156" t="s">
        <v>1436</v>
      </c>
      <c r="I3" s="1158" t="s">
        <v>1428</v>
      </c>
      <c r="J3" s="1158" t="s">
        <v>3</v>
      </c>
      <c r="K3" s="1145" t="s">
        <v>4</v>
      </c>
    </row>
    <row r="4" spans="1:13" x14ac:dyDescent="0.25">
      <c r="A4" s="1158"/>
      <c r="B4" s="1158"/>
      <c r="C4" s="1158"/>
      <c r="D4" s="1157" t="s">
        <v>944</v>
      </c>
      <c r="E4" s="1158" t="s">
        <v>1420</v>
      </c>
      <c r="F4" s="1158"/>
      <c r="G4" s="1158"/>
      <c r="H4" s="1156"/>
      <c r="I4" s="1158"/>
      <c r="J4" s="1158"/>
      <c r="K4" s="1145"/>
    </row>
    <row r="5" spans="1:13" ht="38.25" x14ac:dyDescent="0.25">
      <c r="A5" s="1158"/>
      <c r="B5" s="1158"/>
      <c r="C5" s="1158"/>
      <c r="D5" s="1157"/>
      <c r="E5" s="967" t="s">
        <v>1421</v>
      </c>
      <c r="F5" s="967" t="s">
        <v>1422</v>
      </c>
      <c r="G5" s="967" t="s">
        <v>1423</v>
      </c>
      <c r="H5" s="1156"/>
      <c r="I5" s="1158"/>
      <c r="J5" s="1158"/>
      <c r="K5" s="1145"/>
    </row>
    <row r="6" spans="1:13" s="961" customFormat="1" ht="11.25" x14ac:dyDescent="0.2">
      <c r="A6" s="957">
        <v>1</v>
      </c>
      <c r="B6" s="957">
        <v>2</v>
      </c>
      <c r="C6" s="957">
        <v>3</v>
      </c>
      <c r="D6" s="957" t="s">
        <v>1433</v>
      </c>
      <c r="E6" s="957">
        <v>5</v>
      </c>
      <c r="F6" s="957">
        <v>6</v>
      </c>
      <c r="G6" s="957">
        <v>7</v>
      </c>
      <c r="H6" s="957" t="s">
        <v>1432</v>
      </c>
      <c r="I6" s="957">
        <v>9</v>
      </c>
      <c r="J6" s="957" t="s">
        <v>1434</v>
      </c>
      <c r="K6" s="957">
        <v>11</v>
      </c>
    </row>
    <row r="7" spans="1:13" ht="51" outlineLevel="1" x14ac:dyDescent="0.25">
      <c r="A7" s="958">
        <v>1</v>
      </c>
      <c r="B7" s="959" t="s">
        <v>1424</v>
      </c>
      <c r="C7" s="1175">
        <f>9*0.2</f>
        <v>1.8</v>
      </c>
      <c r="D7" s="960">
        <f>E7+F7+G7</f>
        <v>21566.944448887778</v>
      </c>
      <c r="E7" s="960">
        <v>4882</v>
      </c>
      <c r="F7" s="960">
        <v>8112.6124155555553</v>
      </c>
      <c r="G7" s="960">
        <v>8572.3320333322208</v>
      </c>
      <c r="H7" s="960">
        <f>C7*D7*12</f>
        <v>465846.00009597605</v>
      </c>
      <c r="I7" s="962">
        <f>'Свод РЦВК 2020'!I34</f>
        <v>7008</v>
      </c>
      <c r="J7" s="960">
        <f>H7/I7</f>
        <v>66.473458917804805</v>
      </c>
      <c r="K7" s="1173" t="s">
        <v>1440</v>
      </c>
    </row>
    <row r="8" spans="1:13" ht="63.75" outlineLevel="1" x14ac:dyDescent="0.25">
      <c r="A8" s="958">
        <v>2</v>
      </c>
      <c r="B8" s="959" t="s">
        <v>1427</v>
      </c>
      <c r="C8" s="1176"/>
      <c r="D8" s="960">
        <f t="shared" ref="D8" si="0">E8+F8+G8</f>
        <v>6513.2172235641083</v>
      </c>
      <c r="E8" s="960">
        <f>E7*30.2%</f>
        <v>1474.364</v>
      </c>
      <c r="F8" s="960">
        <f t="shared" ref="F8:G8" si="1">F7*30.2%</f>
        <v>2450.0089494977778</v>
      </c>
      <c r="G8" s="960">
        <f t="shared" si="1"/>
        <v>2588.8442740663304</v>
      </c>
      <c r="H8" s="960">
        <f>C7*D8*12</f>
        <v>140685.49202898474</v>
      </c>
      <c r="I8" s="481">
        <f>$I$7</f>
        <v>7008</v>
      </c>
      <c r="J8" s="960">
        <f>H8/I8</f>
        <v>20.074984593177046</v>
      </c>
      <c r="K8" s="1174"/>
    </row>
    <row r="9" spans="1:13" x14ac:dyDescent="0.25">
      <c r="A9" s="1098" t="s">
        <v>8</v>
      </c>
      <c r="B9" s="1098"/>
      <c r="C9" s="1098"/>
      <c r="D9" s="1098"/>
      <c r="E9" s="1098"/>
      <c r="F9" s="1098"/>
      <c r="G9" s="1098"/>
      <c r="H9" s="964">
        <f>H7+H8</f>
        <v>606531.49212496076</v>
      </c>
      <c r="I9" s="964">
        <f>I7</f>
        <v>7008</v>
      </c>
      <c r="J9" s="964">
        <f t="shared" ref="J9" si="2">J7+J8</f>
        <v>86.548443510981855</v>
      </c>
      <c r="K9" s="963"/>
    </row>
    <row r="10" spans="1:13" x14ac:dyDescent="0.25">
      <c r="A10" s="1146" t="s">
        <v>1425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8"/>
    </row>
    <row r="11" spans="1:13" ht="63.75" x14ac:dyDescent="0.25">
      <c r="A11" s="966" t="s">
        <v>0</v>
      </c>
      <c r="B11" s="1153" t="s">
        <v>1431</v>
      </c>
      <c r="C11" s="1154"/>
      <c r="D11" s="1155"/>
      <c r="E11" s="1149" t="s">
        <v>1429</v>
      </c>
      <c r="F11" s="1150"/>
      <c r="G11" s="477" t="s">
        <v>939</v>
      </c>
      <c r="H11" s="476" t="s">
        <v>1436</v>
      </c>
      <c r="I11" s="476" t="s">
        <v>1428</v>
      </c>
      <c r="J11" s="477" t="s">
        <v>3</v>
      </c>
      <c r="K11" s="477" t="s">
        <v>4</v>
      </c>
    </row>
    <row r="12" spans="1:13" s="961" customFormat="1" ht="11.25" x14ac:dyDescent="0.2">
      <c r="A12" s="957">
        <v>1</v>
      </c>
      <c r="B12" s="1170">
        <v>2</v>
      </c>
      <c r="C12" s="1171"/>
      <c r="D12" s="1172"/>
      <c r="E12" s="1170">
        <v>3</v>
      </c>
      <c r="F12" s="1172"/>
      <c r="G12" s="957">
        <v>4</v>
      </c>
      <c r="H12" s="957">
        <v>5</v>
      </c>
      <c r="I12" s="957">
        <v>6</v>
      </c>
      <c r="J12" s="957">
        <v>7</v>
      </c>
      <c r="K12" s="957">
        <v>8</v>
      </c>
      <c r="L12" s="1166" t="s">
        <v>958</v>
      </c>
      <c r="M12" s="1167"/>
    </row>
    <row r="13" spans="1:13" outlineLevel="1" x14ac:dyDescent="0.25">
      <c r="A13" s="958">
        <v>1</v>
      </c>
      <c r="B13" s="1159" t="s">
        <v>1315</v>
      </c>
      <c r="C13" s="1160"/>
      <c r="D13" s="1161"/>
      <c r="E13" s="1162">
        <v>9</v>
      </c>
      <c r="F13" s="1163"/>
      <c r="G13" s="960">
        <v>3500</v>
      </c>
      <c r="H13" s="960">
        <v>31500</v>
      </c>
      <c r="I13" s="481">
        <f>$I$7</f>
        <v>7008</v>
      </c>
      <c r="J13" s="960">
        <f>H13/I13</f>
        <v>4.4948630136986303</v>
      </c>
      <c r="K13" s="969"/>
      <c r="L13" s="165">
        <f>E13*G13</f>
        <v>31500</v>
      </c>
      <c r="M13" s="165">
        <f>L13-H13</f>
        <v>0</v>
      </c>
    </row>
    <row r="14" spans="1:13" ht="25.5" outlineLevel="1" x14ac:dyDescent="0.25">
      <c r="A14" s="958">
        <v>2</v>
      </c>
      <c r="B14" s="1159" t="s">
        <v>1316</v>
      </c>
      <c r="C14" s="1160"/>
      <c r="D14" s="1161"/>
      <c r="E14" s="1162">
        <v>1920</v>
      </c>
      <c r="F14" s="1163"/>
      <c r="G14" s="960">
        <f>H14/E14</f>
        <v>111.08020833333333</v>
      </c>
      <c r="H14" s="960">
        <v>213274</v>
      </c>
      <c r="I14" s="481">
        <f t="shared" ref="I14:I21" si="3">$I$7</f>
        <v>7008</v>
      </c>
      <c r="J14" s="960">
        <f t="shared" ref="J14:J21" si="4">H14/I14</f>
        <v>30.432933789954337</v>
      </c>
      <c r="K14" s="969" t="s">
        <v>1438</v>
      </c>
      <c r="L14" s="165">
        <f t="shared" ref="L14:L21" si="5">E14*G14</f>
        <v>213274</v>
      </c>
      <c r="M14" s="165">
        <f t="shared" ref="M14:M21" si="6">L14-H14</f>
        <v>0</v>
      </c>
    </row>
    <row r="15" spans="1:13" ht="25.5" outlineLevel="1" x14ac:dyDescent="0.25">
      <c r="A15" s="958">
        <v>3</v>
      </c>
      <c r="B15" s="1159" t="s">
        <v>1317</v>
      </c>
      <c r="C15" s="1160"/>
      <c r="D15" s="1161"/>
      <c r="E15" s="1162">
        <v>1938</v>
      </c>
      <c r="F15" s="1163"/>
      <c r="G15" s="960">
        <f>H15/E15</f>
        <v>75.263157894736835</v>
      </c>
      <c r="H15" s="960">
        <v>145860</v>
      </c>
      <c r="I15" s="481">
        <f t="shared" si="3"/>
        <v>7008</v>
      </c>
      <c r="J15" s="960">
        <f t="shared" si="4"/>
        <v>20.813356164383563</v>
      </c>
      <c r="K15" s="969" t="s">
        <v>1437</v>
      </c>
      <c r="L15" s="165">
        <f t="shared" si="5"/>
        <v>145860</v>
      </c>
      <c r="M15" s="165">
        <f t="shared" si="6"/>
        <v>0</v>
      </c>
    </row>
    <row r="16" spans="1:13" ht="25.5" outlineLevel="1" x14ac:dyDescent="0.25">
      <c r="A16" s="958">
        <v>4</v>
      </c>
      <c r="B16" s="1159" t="s">
        <v>1318</v>
      </c>
      <c r="C16" s="1160"/>
      <c r="D16" s="1161"/>
      <c r="E16" s="1164">
        <f>H16/G16</f>
        <v>26836.12786878207</v>
      </c>
      <c r="F16" s="1165"/>
      <c r="G16" s="960">
        <f>35.83*1.04</f>
        <v>37.263199999999998</v>
      </c>
      <c r="H16" s="960">
        <v>1000000</v>
      </c>
      <c r="I16" s="481">
        <f t="shared" si="3"/>
        <v>7008</v>
      </c>
      <c r="J16" s="960">
        <f t="shared" si="4"/>
        <v>142.69406392694063</v>
      </c>
      <c r="K16" s="969" t="s">
        <v>1446</v>
      </c>
      <c r="L16" s="165">
        <f t="shared" si="5"/>
        <v>1000000</v>
      </c>
      <c r="M16" s="165">
        <f t="shared" si="6"/>
        <v>0</v>
      </c>
    </row>
    <row r="17" spans="1:13" ht="30" customHeight="1" outlineLevel="1" x14ac:dyDescent="0.25">
      <c r="A17" s="958">
        <v>5</v>
      </c>
      <c r="B17" s="1159" t="s">
        <v>1319</v>
      </c>
      <c r="C17" s="1160"/>
      <c r="D17" s="1161"/>
      <c r="E17" s="1162" t="s">
        <v>399</v>
      </c>
      <c r="F17" s="1163"/>
      <c r="G17" s="971" t="s">
        <v>399</v>
      </c>
      <c r="H17" s="960">
        <v>345500</v>
      </c>
      <c r="I17" s="481">
        <f t="shared" si="3"/>
        <v>7008</v>
      </c>
      <c r="J17" s="960">
        <f t="shared" si="4"/>
        <v>49.300799086757991</v>
      </c>
      <c r="K17" s="969" t="s">
        <v>1439</v>
      </c>
      <c r="L17" s="165"/>
      <c r="M17" s="165"/>
    </row>
    <row r="18" spans="1:13" ht="25.5" outlineLevel="1" x14ac:dyDescent="0.25">
      <c r="A18" s="958">
        <v>6</v>
      </c>
      <c r="B18" s="1159" t="s">
        <v>1320</v>
      </c>
      <c r="C18" s="1160"/>
      <c r="D18" s="1161"/>
      <c r="E18" s="1162">
        <v>9</v>
      </c>
      <c r="F18" s="1163"/>
      <c r="G18" s="960">
        <f>H18/E18</f>
        <v>7830.2788888888881</v>
      </c>
      <c r="H18" s="960">
        <f>70000+472.51</f>
        <v>70472.509999999995</v>
      </c>
      <c r="I18" s="481">
        <f t="shared" si="3"/>
        <v>7008</v>
      </c>
      <c r="J18" s="960">
        <f t="shared" si="4"/>
        <v>10.056008847031963</v>
      </c>
      <c r="K18" s="969" t="s">
        <v>1446</v>
      </c>
      <c r="L18" s="165">
        <f t="shared" si="5"/>
        <v>70472.509999999995</v>
      </c>
      <c r="M18" s="165">
        <f t="shared" si="6"/>
        <v>0</v>
      </c>
    </row>
    <row r="19" spans="1:13" outlineLevel="1" x14ac:dyDescent="0.25">
      <c r="A19" s="958">
        <v>7</v>
      </c>
      <c r="B19" s="1159" t="s">
        <v>1391</v>
      </c>
      <c r="C19" s="1160"/>
      <c r="D19" s="1161"/>
      <c r="E19" s="1162">
        <f>28*12</f>
        <v>336</v>
      </c>
      <c r="F19" s="1163"/>
      <c r="G19" s="960">
        <v>300</v>
      </c>
      <c r="H19" s="960">
        <v>100800</v>
      </c>
      <c r="I19" s="481">
        <f t="shared" si="3"/>
        <v>7008</v>
      </c>
      <c r="J19" s="960">
        <f t="shared" si="4"/>
        <v>14.383561643835616</v>
      </c>
      <c r="K19" s="969"/>
      <c r="L19" s="165">
        <f t="shared" si="5"/>
        <v>100800</v>
      </c>
      <c r="M19" s="165">
        <f t="shared" si="6"/>
        <v>0</v>
      </c>
    </row>
    <row r="20" spans="1:13" outlineLevel="1" x14ac:dyDescent="0.25">
      <c r="A20" s="958">
        <v>8</v>
      </c>
      <c r="B20" s="1159" t="s">
        <v>1393</v>
      </c>
      <c r="C20" s="1160"/>
      <c r="D20" s="1161"/>
      <c r="E20" s="1162" t="s">
        <v>399</v>
      </c>
      <c r="F20" s="1163"/>
      <c r="G20" s="971" t="s">
        <v>399</v>
      </c>
      <c r="H20" s="960">
        <v>45500</v>
      </c>
      <c r="I20" s="481">
        <f t="shared" si="3"/>
        <v>7008</v>
      </c>
      <c r="J20" s="960">
        <f t="shared" si="4"/>
        <v>6.4925799086757987</v>
      </c>
      <c r="K20" s="969" t="s">
        <v>1439</v>
      </c>
      <c r="L20" s="165"/>
      <c r="M20" s="165"/>
    </row>
    <row r="21" spans="1:13" ht="25.5" outlineLevel="1" x14ac:dyDescent="0.25">
      <c r="A21" s="958">
        <v>9</v>
      </c>
      <c r="B21" s="1159" t="s">
        <v>1392</v>
      </c>
      <c r="C21" s="1160"/>
      <c r="D21" s="1161"/>
      <c r="E21" s="1162">
        <f>E18</f>
        <v>9</v>
      </c>
      <c r="F21" s="1163"/>
      <c r="G21" s="960">
        <f>H21/E21</f>
        <v>1755.5555555555557</v>
      </c>
      <c r="H21" s="960">
        <v>15800</v>
      </c>
      <c r="I21" s="481">
        <f t="shared" si="3"/>
        <v>7008</v>
      </c>
      <c r="J21" s="960">
        <f t="shared" si="4"/>
        <v>2.2545662100456623</v>
      </c>
      <c r="K21" s="969" t="s">
        <v>1446</v>
      </c>
      <c r="L21" s="165">
        <f t="shared" si="5"/>
        <v>15800</v>
      </c>
      <c r="M21" s="165">
        <f t="shared" si="6"/>
        <v>0</v>
      </c>
    </row>
    <row r="22" spans="1:13" x14ac:dyDescent="0.25">
      <c r="A22" s="1098" t="s">
        <v>1435</v>
      </c>
      <c r="B22" s="1098"/>
      <c r="C22" s="1098"/>
      <c r="D22" s="1098"/>
      <c r="E22" s="1098"/>
      <c r="F22" s="1098"/>
      <c r="G22" s="1098"/>
      <c r="H22" s="964">
        <f>SUM(H13:H21)</f>
        <v>1968706.51</v>
      </c>
      <c r="I22" s="964">
        <f>I7</f>
        <v>7008</v>
      </c>
      <c r="J22" s="964">
        <f>SUM(J13:J21)</f>
        <v>280.92273259132418</v>
      </c>
      <c r="K22" s="970"/>
    </row>
    <row r="23" spans="1:13" x14ac:dyDescent="0.25">
      <c r="A23" s="1151" t="s">
        <v>1426</v>
      </c>
      <c r="B23" s="1152"/>
      <c r="C23" s="1152"/>
      <c r="D23" s="1152"/>
      <c r="E23" s="1152"/>
      <c r="F23" s="1152"/>
      <c r="G23" s="1152"/>
      <c r="H23" s="968">
        <f>H22+H9</f>
        <v>2575238.0021249605</v>
      </c>
      <c r="I23" s="965">
        <f>I7</f>
        <v>7008</v>
      </c>
      <c r="J23" s="965">
        <f>J22+J9</f>
        <v>367.471176102306</v>
      </c>
      <c r="K23" s="970"/>
    </row>
  </sheetData>
  <mergeCells count="40">
    <mergeCell ref="B21:D21"/>
    <mergeCell ref="E21:F21"/>
    <mergeCell ref="A22:G22"/>
    <mergeCell ref="A23:G23"/>
    <mergeCell ref="C7:C8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12:D12"/>
    <mergeCell ref="E12:F12"/>
    <mergeCell ref="L12:M12"/>
    <mergeCell ref="B13:D13"/>
    <mergeCell ref="E13:F13"/>
    <mergeCell ref="B14:D14"/>
    <mergeCell ref="E14:F14"/>
    <mergeCell ref="K7:K8"/>
    <mergeCell ref="A9:G9"/>
    <mergeCell ref="A10:K10"/>
    <mergeCell ref="B11:D11"/>
    <mergeCell ref="E11:F11"/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AB51"/>
  <sheetViews>
    <sheetView zoomScaleNormal="100" workbookViewId="0">
      <pane xSplit="5" ySplit="3" topLeftCell="F4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outlineLevelRow="1" outlineLevelCol="1" x14ac:dyDescent="0.25"/>
  <cols>
    <col min="1" max="1" width="3.28515625" style="57" customWidth="1"/>
    <col min="2" max="2" width="27.5703125" style="57" customWidth="1"/>
    <col min="3" max="3" width="11.7109375" style="57" customWidth="1"/>
    <col min="4" max="4" width="6.28515625" style="57" customWidth="1"/>
    <col min="5" max="5" width="10.28515625" style="57" customWidth="1"/>
    <col min="6" max="25" width="11.7109375" style="57" customWidth="1" outlineLevel="1"/>
    <col min="26" max="26" width="11.7109375" style="57" customWidth="1"/>
    <col min="27" max="27" width="9.5703125" style="57" bestFit="1" customWidth="1"/>
    <col min="28" max="16384" width="9.140625" style="57"/>
  </cols>
  <sheetData>
    <row r="1" spans="1:28" s="35" customFormat="1" ht="20.25" customHeight="1" x14ac:dyDescent="0.25">
      <c r="A1" s="1017" t="s">
        <v>0</v>
      </c>
      <c r="B1" s="1023" t="s">
        <v>336</v>
      </c>
      <c r="C1" s="1017" t="s">
        <v>939</v>
      </c>
      <c r="D1" s="1017" t="s">
        <v>10</v>
      </c>
      <c r="E1" s="1020" t="s">
        <v>11</v>
      </c>
      <c r="F1" s="37">
        <f>F2</f>
        <v>61594</v>
      </c>
      <c r="G1" s="37">
        <f>G2</f>
        <v>2800</v>
      </c>
      <c r="H1" s="37">
        <f t="shared" ref="H1:Y1" si="0">H2</f>
        <v>14</v>
      </c>
      <c r="I1" s="37">
        <f t="shared" si="0"/>
        <v>3677</v>
      </c>
      <c r="J1" s="37">
        <f t="shared" si="0"/>
        <v>275</v>
      </c>
      <c r="K1" s="37">
        <f t="shared" si="0"/>
        <v>107</v>
      </c>
      <c r="L1" s="37">
        <f t="shared" si="0"/>
        <v>321</v>
      </c>
      <c r="M1" s="37">
        <f t="shared" si="0"/>
        <v>382</v>
      </c>
      <c r="N1" s="37">
        <f t="shared" si="0"/>
        <v>12</v>
      </c>
      <c r="O1" s="37">
        <f t="shared" si="0"/>
        <v>30500</v>
      </c>
      <c r="P1" s="37">
        <f t="shared" si="0"/>
        <v>3411</v>
      </c>
      <c r="Q1" s="37">
        <f>Q2*1000</f>
        <v>1000</v>
      </c>
      <c r="R1" s="37">
        <f>R2*1000</f>
        <v>7859</v>
      </c>
      <c r="S1" s="37">
        <f t="shared" si="0"/>
        <v>72</v>
      </c>
      <c r="T1" s="37">
        <f t="shared" si="0"/>
        <v>465</v>
      </c>
      <c r="U1" s="37">
        <f t="shared" si="0"/>
        <v>465</v>
      </c>
      <c r="V1" s="37">
        <f t="shared" si="0"/>
        <v>160100</v>
      </c>
      <c r="W1" s="37">
        <f t="shared" si="0"/>
        <v>877</v>
      </c>
      <c r="X1" s="37">
        <f t="shared" si="0"/>
        <v>66</v>
      </c>
      <c r="Y1" s="37">
        <f t="shared" si="0"/>
        <v>66</v>
      </c>
      <c r="Z1" s="38">
        <f>SUM(F1:Y1)</f>
        <v>274063</v>
      </c>
      <c r="AA1" s="594">
        <f>'ФВ РЦВК'!F26</f>
        <v>274063</v>
      </c>
      <c r="AB1" s="597">
        <f>AA1-Z1</f>
        <v>0</v>
      </c>
    </row>
    <row r="2" spans="1:28" x14ac:dyDescent="0.25">
      <c r="A2" s="1018"/>
      <c r="B2" s="1023"/>
      <c r="C2" s="1018"/>
      <c r="D2" s="1018"/>
      <c r="E2" s="1021"/>
      <c r="F2" s="590">
        <f>№1!D6</f>
        <v>61594</v>
      </c>
      <c r="G2" s="37">
        <f>№2!D6</f>
        <v>2800</v>
      </c>
      <c r="H2" s="37">
        <f>№3!D6</f>
        <v>14</v>
      </c>
      <c r="I2" s="37">
        <f>№4!D6</f>
        <v>3677</v>
      </c>
      <c r="J2" s="37">
        <f>№5!D6</f>
        <v>275</v>
      </c>
      <c r="K2" s="37">
        <f>№6!D6</f>
        <v>107</v>
      </c>
      <c r="L2" s="37">
        <f>№7!D6</f>
        <v>321</v>
      </c>
      <c r="M2" s="37">
        <f>№8!D6</f>
        <v>382</v>
      </c>
      <c r="N2" s="37">
        <f>№9!D6</f>
        <v>12</v>
      </c>
      <c r="O2" s="37">
        <f>№10!D6</f>
        <v>30500</v>
      </c>
      <c r="P2" s="37">
        <f>№11!D6</f>
        <v>3411</v>
      </c>
      <c r="Q2" s="591">
        <f>№12!D6</f>
        <v>1</v>
      </c>
      <c r="R2" s="591">
        <f>№13!D6</f>
        <v>7.859</v>
      </c>
      <c r="S2" s="37">
        <f>№14!D6</f>
        <v>72</v>
      </c>
      <c r="T2" s="592">
        <f>№15!D6</f>
        <v>465</v>
      </c>
      <c r="U2" s="593">
        <f>№16!D6</f>
        <v>465</v>
      </c>
      <c r="V2" s="570">
        <f>№17!D6</f>
        <v>160100</v>
      </c>
      <c r="W2" s="593">
        <f>№18!D6</f>
        <v>877</v>
      </c>
      <c r="X2" s="593">
        <f>№19!D6</f>
        <v>66</v>
      </c>
      <c r="Y2" s="593">
        <f>№20!D6</f>
        <v>66</v>
      </c>
      <c r="Z2" s="595">
        <f>SUM(F2:Y2)</f>
        <v>265212.859</v>
      </c>
      <c r="AA2" s="596">
        <f>'ФВ РЦВК'!G26</f>
        <v>265212.859</v>
      </c>
      <c r="AB2" s="596">
        <f>AA2-Z2</f>
        <v>0</v>
      </c>
    </row>
    <row r="3" spans="1:28" x14ac:dyDescent="0.25">
      <c r="A3" s="1019"/>
      <c r="B3" s="1023"/>
      <c r="C3" s="1019"/>
      <c r="D3" s="1019"/>
      <c r="E3" s="1022"/>
      <c r="F3" s="585" t="s">
        <v>107</v>
      </c>
      <c r="G3" s="36" t="s">
        <v>108</v>
      </c>
      <c r="H3" s="36" t="s">
        <v>109</v>
      </c>
      <c r="I3" s="36" t="s">
        <v>110</v>
      </c>
      <c r="J3" s="36" t="s">
        <v>111</v>
      </c>
      <c r="K3" s="36" t="s">
        <v>112</v>
      </c>
      <c r="L3" s="36" t="s">
        <v>113</v>
      </c>
      <c r="M3" s="36" t="s">
        <v>114</v>
      </c>
      <c r="N3" s="36" t="s">
        <v>115</v>
      </c>
      <c r="O3" s="36" t="s">
        <v>116</v>
      </c>
      <c r="P3" s="36" t="s">
        <v>117</v>
      </c>
      <c r="Q3" s="36" t="s">
        <v>118</v>
      </c>
      <c r="R3" s="36" t="s">
        <v>119</v>
      </c>
      <c r="S3" s="36" t="s">
        <v>120</v>
      </c>
      <c r="T3" s="36" t="s">
        <v>121</v>
      </c>
      <c r="U3" s="569" t="s">
        <v>950</v>
      </c>
      <c r="V3" s="569" t="s">
        <v>951</v>
      </c>
      <c r="W3" s="569" t="s">
        <v>952</v>
      </c>
      <c r="X3" s="569" t="s">
        <v>953</v>
      </c>
      <c r="Y3" s="569" t="s">
        <v>954</v>
      </c>
      <c r="Z3" s="45"/>
    </row>
    <row r="4" spans="1:28" s="75" customFormat="1" x14ac:dyDescent="0.25">
      <c r="A4" s="572"/>
      <c r="B4" s="582" t="s">
        <v>332</v>
      </c>
      <c r="C4" s="580"/>
      <c r="D4" s="581"/>
      <c r="E4" s="579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79"/>
    </row>
    <row r="5" spans="1:28" outlineLevel="1" x14ac:dyDescent="0.25">
      <c r="A5" s="569">
        <v>1</v>
      </c>
      <c r="B5" s="583" t="s">
        <v>940</v>
      </c>
      <c r="C5" s="504">
        <v>700</v>
      </c>
      <c r="D5" s="563">
        <v>2</v>
      </c>
      <c r="E5" s="563">
        <v>1</v>
      </c>
      <c r="F5" s="575">
        <f t="shared" ref="F5:O7" si="1">ROUND(($C$51*$D5/$Z$1/$E5*$C5*F$1),2)</f>
        <v>39015.550000000003</v>
      </c>
      <c r="G5" s="575">
        <f t="shared" si="1"/>
        <v>1773.61</v>
      </c>
      <c r="H5" s="575">
        <f t="shared" si="1"/>
        <v>8.8699999999999992</v>
      </c>
      <c r="I5" s="575">
        <f t="shared" si="1"/>
        <v>2329.13</v>
      </c>
      <c r="J5" s="575">
        <f t="shared" si="1"/>
        <v>174.19</v>
      </c>
      <c r="K5" s="575">
        <f t="shared" si="1"/>
        <v>67.78</v>
      </c>
      <c r="L5" s="575">
        <f t="shared" si="1"/>
        <v>203.33</v>
      </c>
      <c r="M5" s="575">
        <f t="shared" si="1"/>
        <v>241.97</v>
      </c>
      <c r="N5" s="575">
        <f t="shared" si="1"/>
        <v>7.6</v>
      </c>
      <c r="O5" s="575">
        <f t="shared" si="1"/>
        <v>19319.650000000001</v>
      </c>
      <c r="P5" s="575">
        <f t="shared" ref="P5:Y7" si="2">ROUND(($C$51*$D5/$Z$1/$E5*$C5*P$1),2)</f>
        <v>2160.63</v>
      </c>
      <c r="Q5" s="575">
        <f t="shared" si="2"/>
        <v>633.42999999999995</v>
      </c>
      <c r="R5" s="562">
        <f t="shared" si="2"/>
        <v>4978.13</v>
      </c>
      <c r="S5" s="575">
        <f t="shared" si="2"/>
        <v>45.61</v>
      </c>
      <c r="T5" s="575">
        <f t="shared" si="2"/>
        <v>294.55</v>
      </c>
      <c r="U5" s="575">
        <f t="shared" si="2"/>
        <v>294.55</v>
      </c>
      <c r="V5" s="575">
        <f t="shared" si="2"/>
        <v>101412.3</v>
      </c>
      <c r="W5" s="575">
        <f t="shared" si="2"/>
        <v>555.52</v>
      </c>
      <c r="X5" s="575">
        <f t="shared" si="2"/>
        <v>41.81</v>
      </c>
      <c r="Y5" s="575">
        <f t="shared" si="2"/>
        <v>41.81</v>
      </c>
      <c r="Z5" s="46">
        <f>SUM(F5:Y5)</f>
        <v>173600.02</v>
      </c>
      <c r="AA5" s="76">
        <f>D5*$C$51*C5</f>
        <v>173600</v>
      </c>
    </row>
    <row r="6" spans="1:28" ht="25.5" outlineLevel="1" x14ac:dyDescent="0.25">
      <c r="A6" s="569">
        <v>2</v>
      </c>
      <c r="B6" s="583" t="s">
        <v>941</v>
      </c>
      <c r="C6" s="562">
        <v>1400</v>
      </c>
      <c r="D6" s="563">
        <v>2</v>
      </c>
      <c r="E6" s="563">
        <v>1</v>
      </c>
      <c r="F6" s="575">
        <f t="shared" si="1"/>
        <v>78031.100000000006</v>
      </c>
      <c r="G6" s="575">
        <f t="shared" si="1"/>
        <v>3547.21</v>
      </c>
      <c r="H6" s="575">
        <f t="shared" si="1"/>
        <v>17.739999999999998</v>
      </c>
      <c r="I6" s="575">
        <f t="shared" si="1"/>
        <v>4658.25</v>
      </c>
      <c r="J6" s="575">
        <f t="shared" si="1"/>
        <v>348.39</v>
      </c>
      <c r="K6" s="575">
        <f t="shared" si="1"/>
        <v>135.55000000000001</v>
      </c>
      <c r="L6" s="575">
        <f t="shared" si="1"/>
        <v>406.66</v>
      </c>
      <c r="M6" s="575">
        <f t="shared" si="1"/>
        <v>483.94</v>
      </c>
      <c r="N6" s="575">
        <f t="shared" si="1"/>
        <v>15.2</v>
      </c>
      <c r="O6" s="575">
        <f t="shared" si="1"/>
        <v>38639.29</v>
      </c>
      <c r="P6" s="575">
        <f t="shared" si="2"/>
        <v>4321.2700000000004</v>
      </c>
      <c r="Q6" s="575">
        <f t="shared" si="2"/>
        <v>1266.8599999999999</v>
      </c>
      <c r="R6" s="562">
        <f t="shared" si="2"/>
        <v>9956.27</v>
      </c>
      <c r="S6" s="575">
        <f t="shared" si="2"/>
        <v>91.21</v>
      </c>
      <c r="T6" s="575">
        <f t="shared" si="2"/>
        <v>589.09</v>
      </c>
      <c r="U6" s="575">
        <f t="shared" si="2"/>
        <v>589.09</v>
      </c>
      <c r="V6" s="575">
        <f t="shared" si="2"/>
        <v>202824.61</v>
      </c>
      <c r="W6" s="575">
        <f t="shared" si="2"/>
        <v>1111.04</v>
      </c>
      <c r="X6" s="575">
        <f t="shared" si="2"/>
        <v>83.61</v>
      </c>
      <c r="Y6" s="575">
        <f t="shared" si="2"/>
        <v>83.61</v>
      </c>
      <c r="Z6" s="46">
        <f t="shared" ref="Z6:Z11" si="3">SUM(F6:Y6)</f>
        <v>347199.98999999993</v>
      </c>
      <c r="AA6" s="76">
        <f>D6*$C$51*C6</f>
        <v>347200</v>
      </c>
    </row>
    <row r="7" spans="1:28" outlineLevel="1" x14ac:dyDescent="0.25">
      <c r="A7" s="569">
        <v>3</v>
      </c>
      <c r="B7" s="583" t="s">
        <v>942</v>
      </c>
      <c r="C7" s="562">
        <v>260</v>
      </c>
      <c r="D7" s="563">
        <v>1</v>
      </c>
      <c r="E7" s="563">
        <v>2</v>
      </c>
      <c r="F7" s="575">
        <f t="shared" si="1"/>
        <v>3622.87</v>
      </c>
      <c r="G7" s="575">
        <f t="shared" si="1"/>
        <v>164.69</v>
      </c>
      <c r="H7" s="575">
        <f t="shared" si="1"/>
        <v>0.82</v>
      </c>
      <c r="I7" s="575">
        <f t="shared" si="1"/>
        <v>216.28</v>
      </c>
      <c r="J7" s="575">
        <f t="shared" si="1"/>
        <v>16.18</v>
      </c>
      <c r="K7" s="575">
        <f t="shared" si="1"/>
        <v>6.29</v>
      </c>
      <c r="L7" s="575">
        <f t="shared" si="1"/>
        <v>18.88</v>
      </c>
      <c r="M7" s="575">
        <f t="shared" si="1"/>
        <v>22.47</v>
      </c>
      <c r="N7" s="575">
        <f t="shared" si="1"/>
        <v>0.71</v>
      </c>
      <c r="O7" s="575">
        <f t="shared" si="1"/>
        <v>1793.97</v>
      </c>
      <c r="P7" s="575">
        <f t="shared" si="2"/>
        <v>200.63</v>
      </c>
      <c r="Q7" s="575">
        <f t="shared" si="2"/>
        <v>58.82</v>
      </c>
      <c r="R7" s="562">
        <f t="shared" si="2"/>
        <v>462.26</v>
      </c>
      <c r="S7" s="575">
        <f t="shared" si="2"/>
        <v>4.2300000000000004</v>
      </c>
      <c r="T7" s="575">
        <f t="shared" si="2"/>
        <v>27.35</v>
      </c>
      <c r="U7" s="575">
        <f t="shared" si="2"/>
        <v>27.35</v>
      </c>
      <c r="V7" s="575">
        <f t="shared" si="2"/>
        <v>9416.86</v>
      </c>
      <c r="W7" s="575">
        <f t="shared" si="2"/>
        <v>51.58</v>
      </c>
      <c r="X7" s="575">
        <f t="shared" si="2"/>
        <v>3.88</v>
      </c>
      <c r="Y7" s="575">
        <f t="shared" si="2"/>
        <v>3.88</v>
      </c>
      <c r="Z7" s="46">
        <f t="shared" si="3"/>
        <v>16119.999999999998</v>
      </c>
      <c r="AA7" s="76">
        <f>D7*$C$51*C7</f>
        <v>32240</v>
      </c>
    </row>
    <row r="8" spans="1:28" ht="25.5" outlineLevel="1" x14ac:dyDescent="0.25">
      <c r="A8" s="569">
        <v>4</v>
      </c>
      <c r="B8" s="583" t="s">
        <v>955</v>
      </c>
      <c r="C8" s="562">
        <v>980</v>
      </c>
      <c r="D8" s="563">
        <v>1</v>
      </c>
      <c r="E8" s="563">
        <v>2</v>
      </c>
      <c r="F8" s="575">
        <f t="shared" ref="F8:Y8" si="4">ROUND(($C$48*$D8/$Z$1/$E8*$C8*F$1),2)</f>
        <v>8809.9599999999991</v>
      </c>
      <c r="G8" s="575">
        <f t="shared" si="4"/>
        <v>400.49</v>
      </c>
      <c r="H8" s="575">
        <f t="shared" si="4"/>
        <v>2</v>
      </c>
      <c r="I8" s="575">
        <f t="shared" si="4"/>
        <v>525.92999999999995</v>
      </c>
      <c r="J8" s="575">
        <f t="shared" si="4"/>
        <v>39.33</v>
      </c>
      <c r="K8" s="575">
        <f t="shared" si="4"/>
        <v>15.3</v>
      </c>
      <c r="L8" s="575">
        <f t="shared" si="4"/>
        <v>45.91</v>
      </c>
      <c r="M8" s="575">
        <f t="shared" si="4"/>
        <v>54.64</v>
      </c>
      <c r="N8" s="575">
        <f t="shared" si="4"/>
        <v>1.72</v>
      </c>
      <c r="O8" s="575">
        <f t="shared" si="4"/>
        <v>4362.5</v>
      </c>
      <c r="P8" s="575">
        <f t="shared" si="4"/>
        <v>487.88</v>
      </c>
      <c r="Q8" s="575">
        <f t="shared" si="4"/>
        <v>143.03</v>
      </c>
      <c r="R8" s="562">
        <f t="shared" si="4"/>
        <v>1124.0899999999999</v>
      </c>
      <c r="S8" s="575">
        <f t="shared" si="4"/>
        <v>10.3</v>
      </c>
      <c r="T8" s="575">
        <f t="shared" si="4"/>
        <v>66.510000000000005</v>
      </c>
      <c r="U8" s="575">
        <f t="shared" si="4"/>
        <v>66.510000000000005</v>
      </c>
      <c r="V8" s="575">
        <f t="shared" si="4"/>
        <v>22899.55</v>
      </c>
      <c r="W8" s="575">
        <f t="shared" si="4"/>
        <v>125.44</v>
      </c>
      <c r="X8" s="575">
        <f t="shared" si="4"/>
        <v>9.44</v>
      </c>
      <c r="Y8" s="575">
        <f t="shared" si="4"/>
        <v>9.44</v>
      </c>
      <c r="Z8" s="46">
        <f t="shared" si="3"/>
        <v>39199.97</v>
      </c>
      <c r="AA8" s="76">
        <f>D8*$C$48*C8</f>
        <v>78400</v>
      </c>
      <c r="AB8" s="57" t="s">
        <v>956</v>
      </c>
    </row>
    <row r="9" spans="1:28" outlineLevel="1" x14ac:dyDescent="0.25">
      <c r="A9" s="569">
        <v>5</v>
      </c>
      <c r="B9" s="583" t="s">
        <v>943</v>
      </c>
      <c r="C9" s="562">
        <v>61</v>
      </c>
      <c r="D9" s="563">
        <v>2</v>
      </c>
      <c r="E9" s="563">
        <v>1</v>
      </c>
      <c r="F9" s="575">
        <f t="shared" ref="F9:Y9" si="5">ROUND(($C$50*$D9/$Z$1/$E9*$C9*F$1),2)</f>
        <v>740.31</v>
      </c>
      <c r="G9" s="575">
        <f t="shared" si="5"/>
        <v>33.65</v>
      </c>
      <c r="H9" s="575">
        <f t="shared" si="5"/>
        <v>0.17</v>
      </c>
      <c r="I9" s="575">
        <f t="shared" si="5"/>
        <v>44.19</v>
      </c>
      <c r="J9" s="575">
        <f t="shared" si="5"/>
        <v>3.31</v>
      </c>
      <c r="K9" s="575">
        <f t="shared" si="5"/>
        <v>1.29</v>
      </c>
      <c r="L9" s="575">
        <f t="shared" si="5"/>
        <v>3.86</v>
      </c>
      <c r="M9" s="575">
        <f t="shared" si="5"/>
        <v>4.59</v>
      </c>
      <c r="N9" s="575">
        <f t="shared" si="5"/>
        <v>0.14000000000000001</v>
      </c>
      <c r="O9" s="575">
        <f t="shared" si="5"/>
        <v>366.58</v>
      </c>
      <c r="P9" s="575">
        <f t="shared" si="5"/>
        <v>41</v>
      </c>
      <c r="Q9" s="575">
        <f t="shared" si="5"/>
        <v>12.02</v>
      </c>
      <c r="R9" s="562">
        <f t="shared" si="5"/>
        <v>94.46</v>
      </c>
      <c r="S9" s="575">
        <f t="shared" si="5"/>
        <v>0.87</v>
      </c>
      <c r="T9" s="575">
        <f t="shared" si="5"/>
        <v>5.59</v>
      </c>
      <c r="U9" s="575">
        <f t="shared" si="5"/>
        <v>5.59</v>
      </c>
      <c r="V9" s="575">
        <f t="shared" si="5"/>
        <v>1924.26</v>
      </c>
      <c r="W9" s="575">
        <f t="shared" si="5"/>
        <v>10.54</v>
      </c>
      <c r="X9" s="575">
        <f t="shared" si="5"/>
        <v>0.79</v>
      </c>
      <c r="Y9" s="575">
        <f t="shared" si="5"/>
        <v>0.79</v>
      </c>
      <c r="Z9" s="46">
        <f t="shared" si="3"/>
        <v>3293.9999999999995</v>
      </c>
      <c r="AA9" s="76">
        <f>D9*$C$50*C9</f>
        <v>3294</v>
      </c>
      <c r="AB9" s="57" t="s">
        <v>957</v>
      </c>
    </row>
    <row r="10" spans="1:28" outlineLevel="1" x14ac:dyDescent="0.25">
      <c r="A10" s="569">
        <v>6</v>
      </c>
      <c r="B10" s="584" t="s">
        <v>149</v>
      </c>
      <c r="C10" s="562">
        <v>55</v>
      </c>
      <c r="D10" s="563">
        <v>4</v>
      </c>
      <c r="E10" s="563">
        <v>1</v>
      </c>
      <c r="F10" s="575">
        <f t="shared" ref="F10:O11" si="6">ROUND(($C$51*$D10/$Z$1/$E10*$C10*F$1),2)</f>
        <v>6131.01</v>
      </c>
      <c r="G10" s="575">
        <f t="shared" si="6"/>
        <v>278.70999999999998</v>
      </c>
      <c r="H10" s="575">
        <f t="shared" si="6"/>
        <v>1.39</v>
      </c>
      <c r="I10" s="575">
        <f t="shared" si="6"/>
        <v>366.01</v>
      </c>
      <c r="J10" s="575">
        <f t="shared" si="6"/>
        <v>27.37</v>
      </c>
      <c r="K10" s="575">
        <f t="shared" si="6"/>
        <v>10.65</v>
      </c>
      <c r="L10" s="575">
        <f t="shared" si="6"/>
        <v>31.95</v>
      </c>
      <c r="M10" s="575">
        <f t="shared" si="6"/>
        <v>38.020000000000003</v>
      </c>
      <c r="N10" s="575">
        <f t="shared" si="6"/>
        <v>1.19</v>
      </c>
      <c r="O10" s="575">
        <f t="shared" si="6"/>
        <v>3035.94</v>
      </c>
      <c r="P10" s="575">
        <f t="shared" ref="P10:Y11" si="7">ROUND(($C$51*$D10/$Z$1/$E10*$C10*P$1),2)</f>
        <v>339.53</v>
      </c>
      <c r="Q10" s="575">
        <f t="shared" si="7"/>
        <v>99.54</v>
      </c>
      <c r="R10" s="562">
        <f t="shared" si="7"/>
        <v>782.28</v>
      </c>
      <c r="S10" s="575">
        <f t="shared" si="7"/>
        <v>7.17</v>
      </c>
      <c r="T10" s="575">
        <f t="shared" si="7"/>
        <v>46.29</v>
      </c>
      <c r="U10" s="575">
        <f t="shared" si="7"/>
        <v>46.29</v>
      </c>
      <c r="V10" s="575">
        <f t="shared" si="7"/>
        <v>15936.22</v>
      </c>
      <c r="W10" s="575">
        <f t="shared" si="7"/>
        <v>87.3</v>
      </c>
      <c r="X10" s="575">
        <f t="shared" si="7"/>
        <v>6.57</v>
      </c>
      <c r="Y10" s="575">
        <f t="shared" si="7"/>
        <v>6.57</v>
      </c>
      <c r="Z10" s="46">
        <f t="shared" si="3"/>
        <v>27280.000000000004</v>
      </c>
      <c r="AA10" s="76">
        <f>D10*$C$51*C10</f>
        <v>27280</v>
      </c>
    </row>
    <row r="11" spans="1:28" outlineLevel="1" x14ac:dyDescent="0.25">
      <c r="A11" s="569">
        <v>7</v>
      </c>
      <c r="B11" s="584" t="s">
        <v>150</v>
      </c>
      <c r="C11" s="562">
        <v>25</v>
      </c>
      <c r="D11" s="563">
        <v>8</v>
      </c>
      <c r="E11" s="563">
        <v>1</v>
      </c>
      <c r="F11" s="575">
        <f t="shared" si="6"/>
        <v>5573.65</v>
      </c>
      <c r="G11" s="575">
        <f t="shared" si="6"/>
        <v>253.37</v>
      </c>
      <c r="H11" s="575">
        <f t="shared" si="6"/>
        <v>1.27</v>
      </c>
      <c r="I11" s="575">
        <f t="shared" si="6"/>
        <v>332.73</v>
      </c>
      <c r="J11" s="575">
        <f t="shared" si="6"/>
        <v>24.88</v>
      </c>
      <c r="K11" s="575">
        <f t="shared" si="6"/>
        <v>9.68</v>
      </c>
      <c r="L11" s="575">
        <f t="shared" si="6"/>
        <v>29.05</v>
      </c>
      <c r="M11" s="575">
        <f t="shared" si="6"/>
        <v>34.57</v>
      </c>
      <c r="N11" s="575">
        <f t="shared" si="6"/>
        <v>1.0900000000000001</v>
      </c>
      <c r="O11" s="575">
        <f t="shared" si="6"/>
        <v>2759.95</v>
      </c>
      <c r="P11" s="575">
        <f t="shared" si="7"/>
        <v>308.66000000000003</v>
      </c>
      <c r="Q11" s="575">
        <f t="shared" si="7"/>
        <v>90.49</v>
      </c>
      <c r="R11" s="562">
        <f t="shared" si="7"/>
        <v>711.16</v>
      </c>
      <c r="S11" s="575">
        <f t="shared" si="7"/>
        <v>6.52</v>
      </c>
      <c r="T11" s="575">
        <f t="shared" si="7"/>
        <v>42.08</v>
      </c>
      <c r="U11" s="575">
        <f t="shared" si="7"/>
        <v>42.08</v>
      </c>
      <c r="V11" s="575">
        <f t="shared" si="7"/>
        <v>14487.47</v>
      </c>
      <c r="W11" s="575">
        <f t="shared" si="7"/>
        <v>79.36</v>
      </c>
      <c r="X11" s="575">
        <f t="shared" si="7"/>
        <v>5.97</v>
      </c>
      <c r="Y11" s="575">
        <f t="shared" si="7"/>
        <v>5.97</v>
      </c>
      <c r="Z11" s="46">
        <f t="shared" si="3"/>
        <v>24800.000000000004</v>
      </c>
      <c r="AA11" s="76">
        <f>D11*$C$51*C11</f>
        <v>24800</v>
      </c>
    </row>
    <row r="12" spans="1:28" x14ac:dyDescent="0.25">
      <c r="A12" s="563"/>
      <c r="B12" s="1014" t="s">
        <v>944</v>
      </c>
      <c r="C12" s="1015"/>
      <c r="D12" s="1015"/>
      <c r="E12" s="1016"/>
      <c r="F12" s="587">
        <f>SUM(F5:F11)</f>
        <v>141924.45000000001</v>
      </c>
      <c r="G12" s="587">
        <f t="shared" ref="G12:Y12" si="8">SUM(G5:G11)</f>
        <v>6451.7299999999987</v>
      </c>
      <c r="H12" s="587">
        <f t="shared" si="8"/>
        <v>32.260000000000005</v>
      </c>
      <c r="I12" s="587">
        <f t="shared" si="8"/>
        <v>8472.52</v>
      </c>
      <c r="J12" s="587">
        <f t="shared" si="8"/>
        <v>633.64999999999986</v>
      </c>
      <c r="K12" s="587">
        <f t="shared" si="8"/>
        <v>246.54000000000002</v>
      </c>
      <c r="L12" s="587">
        <f t="shared" si="8"/>
        <v>739.64</v>
      </c>
      <c r="M12" s="587">
        <f t="shared" si="8"/>
        <v>880.2</v>
      </c>
      <c r="N12" s="587">
        <f t="shared" si="8"/>
        <v>27.65</v>
      </c>
      <c r="O12" s="587">
        <f t="shared" si="8"/>
        <v>70277.88</v>
      </c>
      <c r="P12" s="587">
        <f t="shared" si="8"/>
        <v>7859.6</v>
      </c>
      <c r="Q12" s="587">
        <f t="shared" si="8"/>
        <v>2304.1899999999996</v>
      </c>
      <c r="R12" s="600">
        <f t="shared" si="8"/>
        <v>18108.649999999998</v>
      </c>
      <c r="S12" s="587">
        <f t="shared" si="8"/>
        <v>165.91</v>
      </c>
      <c r="T12" s="587">
        <f t="shared" si="8"/>
        <v>1071.46</v>
      </c>
      <c r="U12" s="587">
        <f t="shared" si="8"/>
        <v>1071.46</v>
      </c>
      <c r="V12" s="587">
        <f t="shared" si="8"/>
        <v>368901.2699999999</v>
      </c>
      <c r="W12" s="587">
        <f t="shared" si="8"/>
        <v>2020.7799999999997</v>
      </c>
      <c r="X12" s="587">
        <f t="shared" si="8"/>
        <v>152.07</v>
      </c>
      <c r="Y12" s="587">
        <f t="shared" si="8"/>
        <v>152.07</v>
      </c>
      <c r="Z12" s="588">
        <f>SUM(F12:Y12)</f>
        <v>631493.97999999986</v>
      </c>
      <c r="AA12" s="76">
        <f>SUM(AA5:AA11)</f>
        <v>686814</v>
      </c>
    </row>
    <row r="13" spans="1:28" x14ac:dyDescent="0.25">
      <c r="A13" s="572"/>
      <c r="B13" s="582" t="s">
        <v>331</v>
      </c>
      <c r="C13" s="576"/>
      <c r="D13" s="577"/>
      <c r="E13" s="586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9"/>
    </row>
    <row r="14" spans="1:28" outlineLevel="1" x14ac:dyDescent="0.25">
      <c r="A14" s="569">
        <v>1</v>
      </c>
      <c r="B14" s="584" t="s">
        <v>393</v>
      </c>
      <c r="C14" s="573">
        <v>3.7</v>
      </c>
      <c r="D14" s="571">
        <v>1</v>
      </c>
      <c r="E14" s="571">
        <v>1</v>
      </c>
      <c r="F14" s="562">
        <f>$C14*$D14*F$1</f>
        <v>227897.80000000002</v>
      </c>
      <c r="G14" s="562">
        <f>$C14*$D14*G$1</f>
        <v>10360</v>
      </c>
      <c r="H14" s="574"/>
      <c r="I14" s="562">
        <f>$C14*$D14*I$1</f>
        <v>13604.900000000001</v>
      </c>
      <c r="J14" s="562">
        <f>$C14*$D14*J$1</f>
        <v>1017.5</v>
      </c>
      <c r="K14" s="571"/>
      <c r="L14" s="562">
        <f>$C14*$D14*L$1</f>
        <v>1187.7</v>
      </c>
      <c r="M14" s="562">
        <f>$C14*$D14*M$1</f>
        <v>1413.4</v>
      </c>
      <c r="N14" s="562">
        <f>$C14*$D14*N$1</f>
        <v>44.400000000000006</v>
      </c>
      <c r="O14" s="562">
        <f t="shared" ref="O14:P18" si="9">$C14*$D14*O$1</f>
        <v>112850</v>
      </c>
      <c r="P14" s="562">
        <f>$C14*$D14*№11!E18*P$1</f>
        <v>25241.4</v>
      </c>
      <c r="Q14" s="562">
        <f>$C14*$D14*№11!F18*Q$1</f>
        <v>3700</v>
      </c>
      <c r="R14" s="562">
        <f>$C14*$D14*R$1</f>
        <v>29078.300000000003</v>
      </c>
      <c r="S14" s="571"/>
      <c r="T14" s="574"/>
      <c r="U14" s="574"/>
      <c r="V14" s="574"/>
      <c r="W14" s="574"/>
      <c r="X14" s="574"/>
      <c r="Y14" s="574"/>
      <c r="Z14" s="46">
        <f>SUM(F14:Y14)</f>
        <v>426395.4</v>
      </c>
    </row>
    <row r="15" spans="1:28" outlineLevel="1" x14ac:dyDescent="0.25">
      <c r="A15" s="569">
        <v>2</v>
      </c>
      <c r="B15" s="584" t="s">
        <v>945</v>
      </c>
      <c r="C15" s="504">
        <v>3.2</v>
      </c>
      <c r="D15" s="563">
        <v>1</v>
      </c>
      <c r="E15" s="563">
        <v>1</v>
      </c>
      <c r="F15" s="46"/>
      <c r="G15" s="46"/>
      <c r="H15" s="46"/>
      <c r="I15" s="46"/>
      <c r="J15" s="46"/>
      <c r="K15" s="46"/>
      <c r="L15" s="46"/>
      <c r="M15" s="46"/>
      <c r="N15" s="46"/>
      <c r="O15" s="562">
        <f t="shared" si="9"/>
        <v>97600</v>
      </c>
      <c r="P15" s="46"/>
      <c r="Q15" s="562">
        <f>$C15*$D15*Q$1</f>
        <v>3200</v>
      </c>
      <c r="R15" s="46"/>
      <c r="S15" s="46"/>
      <c r="T15" s="46"/>
      <c r="U15" s="562"/>
      <c r="V15" s="562"/>
      <c r="W15" s="562"/>
      <c r="X15" s="562"/>
      <c r="Y15" s="562"/>
      <c r="Z15" s="46">
        <f t="shared" ref="Z15:Z44" si="10">SUM(F15:Y15)</f>
        <v>100800</v>
      </c>
    </row>
    <row r="16" spans="1:28" outlineLevel="1" x14ac:dyDescent="0.25">
      <c r="A16" s="569">
        <v>3</v>
      </c>
      <c r="B16" s="584" t="s">
        <v>946</v>
      </c>
      <c r="C16" s="504">
        <v>4.1500000000000004</v>
      </c>
      <c r="D16" s="563">
        <v>1</v>
      </c>
      <c r="E16" s="563">
        <v>1</v>
      </c>
      <c r="F16" s="575"/>
      <c r="G16" s="46"/>
      <c r="H16" s="46"/>
      <c r="I16" s="46"/>
      <c r="J16" s="46"/>
      <c r="K16" s="46"/>
      <c r="L16" s="46"/>
      <c r="M16" s="46"/>
      <c r="N16" s="46"/>
      <c r="O16" s="46"/>
      <c r="P16" s="562"/>
      <c r="Q16" s="46"/>
      <c r="R16" s="562">
        <f>$C16*$D16*R$1</f>
        <v>32614.850000000002</v>
      </c>
      <c r="S16" s="46"/>
      <c r="T16" s="46"/>
      <c r="U16" s="562"/>
      <c r="V16" s="562"/>
      <c r="W16" s="562"/>
      <c r="X16" s="562"/>
      <c r="Y16" s="562"/>
      <c r="Z16" s="46">
        <f t="shared" si="10"/>
        <v>32614.850000000002</v>
      </c>
    </row>
    <row r="17" spans="1:26" outlineLevel="1" x14ac:dyDescent="0.25">
      <c r="A17" s="569">
        <v>4</v>
      </c>
      <c r="B17" s="584" t="s">
        <v>394</v>
      </c>
      <c r="C17" s="504">
        <v>5.4</v>
      </c>
      <c r="D17" s="563">
        <v>1</v>
      </c>
      <c r="E17" s="563">
        <v>1</v>
      </c>
      <c r="F17" s="575"/>
      <c r="G17" s="46"/>
      <c r="H17" s="46"/>
      <c r="I17" s="46"/>
      <c r="J17" s="46"/>
      <c r="K17" s="46"/>
      <c r="L17" s="46"/>
      <c r="M17" s="46"/>
      <c r="N17" s="562">
        <f>$C17*$D17*N$1</f>
        <v>64.800000000000011</v>
      </c>
      <c r="O17" s="46"/>
      <c r="P17" s="562">
        <f t="shared" si="9"/>
        <v>18419.400000000001</v>
      </c>
      <c r="Q17" s="46"/>
      <c r="R17" s="46"/>
      <c r="S17" s="46"/>
      <c r="T17" s="46"/>
      <c r="U17" s="562"/>
      <c r="V17" s="562"/>
      <c r="W17" s="562"/>
      <c r="X17" s="562"/>
      <c r="Y17" s="562"/>
      <c r="Z17" s="46">
        <f t="shared" si="10"/>
        <v>18484.2</v>
      </c>
    </row>
    <row r="18" spans="1:26" outlineLevel="1" x14ac:dyDescent="0.25">
      <c r="A18" s="569">
        <v>5</v>
      </c>
      <c r="B18" s="584" t="s">
        <v>395</v>
      </c>
      <c r="C18" s="504">
        <v>5.93</v>
      </c>
      <c r="D18" s="563">
        <v>1</v>
      </c>
      <c r="E18" s="563">
        <v>1</v>
      </c>
      <c r="F18" s="575"/>
      <c r="G18" s="46"/>
      <c r="H18" s="46"/>
      <c r="I18" s="46"/>
      <c r="J18" s="562">
        <f>$C18*12*J$1</f>
        <v>19569</v>
      </c>
      <c r="K18" s="46"/>
      <c r="L18" s="46"/>
      <c r="M18" s="46"/>
      <c r="N18" s="562">
        <f>$C18*$D18*N$1</f>
        <v>71.16</v>
      </c>
      <c r="O18" s="46"/>
      <c r="P18" s="562">
        <f t="shared" si="9"/>
        <v>20227.23</v>
      </c>
      <c r="Q18" s="46"/>
      <c r="R18" s="46"/>
      <c r="S18" s="46"/>
      <c r="T18" s="46"/>
      <c r="U18" s="562"/>
      <c r="V18" s="562"/>
      <c r="W18" s="562"/>
      <c r="X18" s="562"/>
      <c r="Y18" s="562"/>
      <c r="Z18" s="46">
        <f t="shared" si="10"/>
        <v>39867.39</v>
      </c>
    </row>
    <row r="19" spans="1:26" outlineLevel="1" x14ac:dyDescent="0.25">
      <c r="A19" s="569">
        <v>6</v>
      </c>
      <c r="B19" s="584" t="s">
        <v>947</v>
      </c>
      <c r="C19" s="504">
        <v>5</v>
      </c>
      <c r="D19" s="563">
        <v>24</v>
      </c>
      <c r="E19" s="563">
        <v>5</v>
      </c>
      <c r="F19" s="575"/>
      <c r="G19" s="46"/>
      <c r="H19" s="562"/>
      <c r="I19" s="562">
        <f>$C19*$D19*I$1/E19</f>
        <v>88248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62"/>
      <c r="V19" s="562"/>
      <c r="W19" s="562"/>
      <c r="X19" s="562"/>
      <c r="Y19" s="562"/>
      <c r="Z19" s="46">
        <f t="shared" si="10"/>
        <v>88248</v>
      </c>
    </row>
    <row r="20" spans="1:26" ht="25.5" outlineLevel="1" x14ac:dyDescent="0.25">
      <c r="A20" s="569">
        <v>7</v>
      </c>
      <c r="B20" s="584" t="s">
        <v>948</v>
      </c>
      <c r="C20" s="504">
        <v>3.13</v>
      </c>
      <c r="D20" s="563">
        <v>1</v>
      </c>
      <c r="E20" s="563">
        <v>1</v>
      </c>
      <c r="F20" s="575"/>
      <c r="G20" s="46"/>
      <c r="H20" s="46"/>
      <c r="I20" s="46"/>
      <c r="J20" s="46"/>
      <c r="K20" s="46"/>
      <c r="L20" s="46"/>
      <c r="M20" s="562">
        <f>$C20*№8!E18*M$1</f>
        <v>710.51</v>
      </c>
      <c r="N20" s="46"/>
      <c r="O20" s="46"/>
      <c r="P20" s="46"/>
      <c r="Q20" s="46"/>
      <c r="R20" s="46"/>
      <c r="S20" s="46"/>
      <c r="T20" s="46"/>
      <c r="U20" s="562"/>
      <c r="V20" s="562"/>
      <c r="W20" s="562">
        <f>$C20*$D20*W$1</f>
        <v>2745.0099999999998</v>
      </c>
      <c r="X20" s="562"/>
      <c r="Y20" s="562"/>
      <c r="Z20" s="46">
        <f t="shared" si="10"/>
        <v>3455.5199999999995</v>
      </c>
    </row>
    <row r="21" spans="1:26" outlineLevel="1" x14ac:dyDescent="0.25">
      <c r="A21" s="569">
        <v>8</v>
      </c>
      <c r="B21" s="584" t="s">
        <v>351</v>
      </c>
      <c r="C21" s="504">
        <v>2.0299999999999998</v>
      </c>
      <c r="D21" s="563">
        <v>1</v>
      </c>
      <c r="E21" s="563">
        <v>1</v>
      </c>
      <c r="F21" s="562">
        <f>$C21*$D21*F$1</f>
        <v>125035.81999999999</v>
      </c>
      <c r="G21" s="562">
        <f>$C21*$D21*G$1</f>
        <v>5683.9999999999991</v>
      </c>
      <c r="H21" s="562"/>
      <c r="I21" s="562">
        <f>$C21*D21*I$1</f>
        <v>7464.3099999999995</v>
      </c>
      <c r="J21" s="562">
        <f>$C21*$D21*J$1</f>
        <v>558.25</v>
      </c>
      <c r="K21" s="562"/>
      <c r="L21" s="562">
        <f>$C21*$D21*L$1</f>
        <v>651.62999999999988</v>
      </c>
      <c r="M21" s="562">
        <f>$C21*№8!E19*M$1</f>
        <v>314.64999999999998</v>
      </c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46">
        <f t="shared" si="10"/>
        <v>139708.66</v>
      </c>
    </row>
    <row r="22" spans="1:26" outlineLevel="1" x14ac:dyDescent="0.25">
      <c r="A22" s="569">
        <v>9</v>
      </c>
      <c r="B22" s="584" t="s">
        <v>363</v>
      </c>
      <c r="C22" s="504">
        <f>ROUND(392/1000,2)</f>
        <v>0.39</v>
      </c>
      <c r="D22" s="563"/>
      <c r="E22" s="563">
        <v>1</v>
      </c>
      <c r="F22" s="562">
        <f>$C22*2*F$1</f>
        <v>48043.32</v>
      </c>
      <c r="G22" s="562"/>
      <c r="H22" s="562"/>
      <c r="I22" s="562">
        <f>$C22*№4!E20*I$1</f>
        <v>109.2</v>
      </c>
      <c r="J22" s="562">
        <f>$C22*80.2*J$1</f>
        <v>8601.4500000000007</v>
      </c>
      <c r="K22" s="562"/>
      <c r="L22" s="562">
        <f>$C22*0.2*L$1</f>
        <v>25.038000000000004</v>
      </c>
      <c r="M22" s="562">
        <f>$C22*0.2*M$1</f>
        <v>29.796000000000006</v>
      </c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46">
        <f t="shared" si="10"/>
        <v>56808.804000000004</v>
      </c>
    </row>
    <row r="23" spans="1:26" outlineLevel="1" x14ac:dyDescent="0.25">
      <c r="A23" s="569">
        <v>10</v>
      </c>
      <c r="B23" s="584" t="s">
        <v>357</v>
      </c>
      <c r="C23" s="504">
        <v>2.3199999999999998</v>
      </c>
      <c r="D23" s="563"/>
      <c r="E23" s="563">
        <v>1</v>
      </c>
      <c r="F23" s="562">
        <f>$C23*18*F$1</f>
        <v>2572165.44</v>
      </c>
      <c r="G23" s="562"/>
      <c r="H23" s="562"/>
      <c r="I23" s="562"/>
      <c r="J23" s="562">
        <f>$C23*6*J$1</f>
        <v>3827.9999999999995</v>
      </c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46">
        <f t="shared" si="10"/>
        <v>2575993.44</v>
      </c>
    </row>
    <row r="24" spans="1:26" outlineLevel="1" x14ac:dyDescent="0.25">
      <c r="A24" s="569">
        <v>11</v>
      </c>
      <c r="B24" s="584" t="s">
        <v>362</v>
      </c>
      <c r="C24" s="504">
        <f>ROUND(144.1/200,2)</f>
        <v>0.72</v>
      </c>
      <c r="D24" s="563"/>
      <c r="E24" s="563">
        <v>1</v>
      </c>
      <c r="F24" s="562">
        <f>$C24*1*F$1</f>
        <v>44347.68</v>
      </c>
      <c r="G24" s="562"/>
      <c r="H24" s="562"/>
      <c r="I24" s="562"/>
      <c r="J24" s="562">
        <f>$C24*10*J$1</f>
        <v>1979.9999999999998</v>
      </c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46">
        <f t="shared" si="10"/>
        <v>46327.68</v>
      </c>
    </row>
    <row r="25" spans="1:26" outlineLevel="1" x14ac:dyDescent="0.25">
      <c r="A25" s="569">
        <v>12</v>
      </c>
      <c r="B25" s="584" t="s">
        <v>364</v>
      </c>
      <c r="C25" s="504">
        <v>3.5</v>
      </c>
      <c r="D25" s="563"/>
      <c r="E25" s="563">
        <v>1</v>
      </c>
      <c r="F25" s="562">
        <f>$C25*1*F$1</f>
        <v>215579</v>
      </c>
      <c r="G25" s="562"/>
      <c r="H25" s="562"/>
      <c r="I25" s="562"/>
      <c r="J25" s="562">
        <f>$C25*4*J$1</f>
        <v>3850</v>
      </c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46">
        <f t="shared" si="10"/>
        <v>219429</v>
      </c>
    </row>
    <row r="26" spans="1:26" outlineLevel="1" x14ac:dyDescent="0.25">
      <c r="A26" s="569">
        <v>13</v>
      </c>
      <c r="B26" s="584" t="s">
        <v>370</v>
      </c>
      <c r="C26" s="504">
        <v>147.74</v>
      </c>
      <c r="D26" s="563">
        <v>1</v>
      </c>
      <c r="E26" s="563">
        <v>1</v>
      </c>
      <c r="F26" s="575"/>
      <c r="G26" s="562"/>
      <c r="H26" s="562"/>
      <c r="I26" s="562"/>
      <c r="J26" s="562">
        <f>C26*D26*J$1</f>
        <v>40628.5</v>
      </c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46">
        <f t="shared" si="10"/>
        <v>40628.5</v>
      </c>
    </row>
    <row r="27" spans="1:26" outlineLevel="1" x14ac:dyDescent="0.25">
      <c r="A27" s="569">
        <v>14</v>
      </c>
      <c r="B27" s="584" t="s">
        <v>371</v>
      </c>
      <c r="C27" s="504">
        <v>248.85</v>
      </c>
      <c r="D27" s="563">
        <v>1</v>
      </c>
      <c r="E27" s="563">
        <v>1</v>
      </c>
      <c r="F27" s="575"/>
      <c r="G27" s="562"/>
      <c r="H27" s="562"/>
      <c r="I27" s="562"/>
      <c r="J27" s="562">
        <f t="shared" ref="J27:J31" si="11">C27*D27*J$1</f>
        <v>68433.75</v>
      </c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46">
        <f t="shared" si="10"/>
        <v>68433.75</v>
      </c>
    </row>
    <row r="28" spans="1:26" outlineLevel="1" x14ac:dyDescent="0.25">
      <c r="A28" s="569">
        <v>15</v>
      </c>
      <c r="B28" s="584" t="s">
        <v>372</v>
      </c>
      <c r="C28" s="504">
        <v>880.2</v>
      </c>
      <c r="D28" s="563">
        <v>1</v>
      </c>
      <c r="E28" s="563">
        <v>1</v>
      </c>
      <c r="F28" s="575"/>
      <c r="G28" s="562"/>
      <c r="H28" s="562"/>
      <c r="I28" s="562"/>
      <c r="J28" s="562">
        <f>C28*D28*J$1</f>
        <v>242055</v>
      </c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46">
        <f t="shared" si="10"/>
        <v>242055</v>
      </c>
    </row>
    <row r="29" spans="1:26" outlineLevel="1" x14ac:dyDescent="0.25">
      <c r="A29" s="569">
        <v>16</v>
      </c>
      <c r="B29" s="584" t="s">
        <v>373</v>
      </c>
      <c r="C29" s="504">
        <v>115.77</v>
      </c>
      <c r="D29" s="563">
        <v>1</v>
      </c>
      <c r="E29" s="563">
        <v>1</v>
      </c>
      <c r="F29" s="575"/>
      <c r="G29" s="562"/>
      <c r="H29" s="562"/>
      <c r="I29" s="562"/>
      <c r="J29" s="562">
        <f t="shared" si="11"/>
        <v>31836.75</v>
      </c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46">
        <f t="shared" si="10"/>
        <v>31836.75</v>
      </c>
    </row>
    <row r="30" spans="1:26" outlineLevel="1" x14ac:dyDescent="0.25">
      <c r="A30" s="569">
        <v>17</v>
      </c>
      <c r="B30" s="584" t="s">
        <v>374</v>
      </c>
      <c r="C30" s="504">
        <v>48</v>
      </c>
      <c r="D30" s="563">
        <v>4</v>
      </c>
      <c r="E30" s="563">
        <v>1</v>
      </c>
      <c r="F30" s="575"/>
      <c r="G30" s="562"/>
      <c r="H30" s="562"/>
      <c r="I30" s="562"/>
      <c r="J30" s="562">
        <f t="shared" si="11"/>
        <v>52800</v>
      </c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46">
        <f t="shared" si="10"/>
        <v>52800</v>
      </c>
    </row>
    <row r="31" spans="1:26" outlineLevel="1" x14ac:dyDescent="0.25">
      <c r="A31" s="569">
        <v>18</v>
      </c>
      <c r="B31" s="584" t="s">
        <v>375</v>
      </c>
      <c r="C31" s="504">
        <v>3.5</v>
      </c>
      <c r="D31" s="563">
        <v>4</v>
      </c>
      <c r="E31" s="563">
        <v>1</v>
      </c>
      <c r="F31" s="575"/>
      <c r="G31" s="562"/>
      <c r="H31" s="562"/>
      <c r="I31" s="562"/>
      <c r="J31" s="562">
        <f t="shared" si="11"/>
        <v>3850</v>
      </c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46">
        <f t="shared" si="10"/>
        <v>3850</v>
      </c>
    </row>
    <row r="32" spans="1:26" outlineLevel="1" x14ac:dyDescent="0.25">
      <c r="A32" s="569">
        <v>19</v>
      </c>
      <c r="B32" s="584" t="s">
        <v>376</v>
      </c>
      <c r="C32" s="504">
        <f>ROUND(1050/1000,2)</f>
        <v>1.05</v>
      </c>
      <c r="D32" s="563">
        <v>4</v>
      </c>
      <c r="E32" s="563">
        <v>1</v>
      </c>
      <c r="F32" s="575"/>
      <c r="G32" s="562"/>
      <c r="H32" s="562"/>
      <c r="I32" s="562"/>
      <c r="J32" s="562">
        <f>$C32*$D32*J$1</f>
        <v>1155</v>
      </c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46">
        <f t="shared" si="10"/>
        <v>1155</v>
      </c>
    </row>
    <row r="33" spans="1:26" outlineLevel="1" x14ac:dyDescent="0.25">
      <c r="A33" s="569">
        <v>20</v>
      </c>
      <c r="B33" s="584" t="s">
        <v>352</v>
      </c>
      <c r="C33" s="504">
        <f>ROUND(1/0.2*392.16,2)</f>
        <v>1960.8</v>
      </c>
      <c r="D33" s="563">
        <v>5.0000000000000001E-4</v>
      </c>
      <c r="E33" s="563">
        <v>1</v>
      </c>
      <c r="F33" s="562">
        <f>ROUND($C33*$D33*F$1,2)</f>
        <v>60386.76</v>
      </c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46">
        <f t="shared" si="10"/>
        <v>60386.76</v>
      </c>
    </row>
    <row r="34" spans="1:26" outlineLevel="1" x14ac:dyDescent="0.25">
      <c r="A34" s="569">
        <v>21</v>
      </c>
      <c r="B34" s="584" t="s">
        <v>353</v>
      </c>
      <c r="C34" s="504">
        <f>15373.34</f>
        <v>15373.34</v>
      </c>
      <c r="D34" s="563">
        <v>1E-3</v>
      </c>
      <c r="E34" s="563">
        <v>1</v>
      </c>
      <c r="F34" s="562">
        <f t="shared" ref="F34:F41" si="12">$C34*$D34*F$1</f>
        <v>946905.50396</v>
      </c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46">
        <f t="shared" si="10"/>
        <v>946905.50396</v>
      </c>
    </row>
    <row r="35" spans="1:26" outlineLevel="1" x14ac:dyDescent="0.25">
      <c r="A35" s="569">
        <v>22</v>
      </c>
      <c r="B35" s="584" t="s">
        <v>354</v>
      </c>
      <c r="C35" s="504">
        <f>ROUND(1/0.33*4783.48,2)</f>
        <v>14495.39</v>
      </c>
      <c r="D35" s="563">
        <f>№1!E22</f>
        <v>1.9999999999999998E-4</v>
      </c>
      <c r="E35" s="563">
        <v>1</v>
      </c>
      <c r="F35" s="562">
        <f t="shared" si="12"/>
        <v>178565.81033199999</v>
      </c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46">
        <f t="shared" si="10"/>
        <v>178565.81033199999</v>
      </c>
    </row>
    <row r="36" spans="1:26" outlineLevel="1" x14ac:dyDescent="0.25">
      <c r="A36" s="569">
        <v>23</v>
      </c>
      <c r="B36" s="584" t="s">
        <v>355</v>
      </c>
      <c r="C36" s="504">
        <v>3104.54</v>
      </c>
      <c r="D36" s="563">
        <f>№1!E23</f>
        <v>3.9999999999999996E-4</v>
      </c>
      <c r="E36" s="563">
        <v>1</v>
      </c>
      <c r="F36" s="562">
        <f t="shared" si="12"/>
        <v>76488.414703999995</v>
      </c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46">
        <f t="shared" si="10"/>
        <v>76488.414703999995</v>
      </c>
    </row>
    <row r="37" spans="1:26" outlineLevel="1" x14ac:dyDescent="0.25">
      <c r="A37" s="569">
        <v>24</v>
      </c>
      <c r="B37" s="584" t="s">
        <v>356</v>
      </c>
      <c r="C37" s="504"/>
      <c r="D37" s="563">
        <v>1</v>
      </c>
      <c r="E37" s="563">
        <v>1</v>
      </c>
      <c r="F37" s="562">
        <f t="shared" si="12"/>
        <v>0</v>
      </c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46">
        <f t="shared" si="10"/>
        <v>0</v>
      </c>
    </row>
    <row r="38" spans="1:26" ht="25.5" outlineLevel="1" x14ac:dyDescent="0.25">
      <c r="A38" s="569">
        <v>25</v>
      </c>
      <c r="B38" s="584" t="s">
        <v>358</v>
      </c>
      <c r="C38" s="504">
        <v>5237.87</v>
      </c>
      <c r="D38" s="563">
        <v>1E-3</v>
      </c>
      <c r="E38" s="563">
        <v>1</v>
      </c>
      <c r="F38" s="562">
        <f t="shared" si="12"/>
        <v>322621.36478</v>
      </c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46">
        <f t="shared" si="10"/>
        <v>322621.36478</v>
      </c>
    </row>
    <row r="39" spans="1:26" ht="25.5" outlineLevel="1" x14ac:dyDescent="0.25">
      <c r="A39" s="569">
        <v>26</v>
      </c>
      <c r="B39" s="584" t="s">
        <v>359</v>
      </c>
      <c r="C39" s="504">
        <v>720.84</v>
      </c>
      <c r="D39" s="563">
        <v>1E-3</v>
      </c>
      <c r="E39" s="563">
        <v>1</v>
      </c>
      <c r="F39" s="562">
        <f t="shared" si="12"/>
        <v>44399.418960000003</v>
      </c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46">
        <f t="shared" si="10"/>
        <v>44399.418960000003</v>
      </c>
    </row>
    <row r="40" spans="1:26" outlineLevel="1" x14ac:dyDescent="0.25">
      <c r="A40" s="569">
        <v>27</v>
      </c>
      <c r="B40" s="584" t="s">
        <v>360</v>
      </c>
      <c r="C40" s="504">
        <v>15</v>
      </c>
      <c r="D40" s="563">
        <f>№1!E28</f>
        <v>0.21000021000021002</v>
      </c>
      <c r="E40" s="563">
        <v>1</v>
      </c>
      <c r="F40" s="562">
        <f t="shared" si="12"/>
        <v>194021.29402129404</v>
      </c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46">
        <f t="shared" si="10"/>
        <v>194021.29402129404</v>
      </c>
    </row>
    <row r="41" spans="1:26" ht="25.5" outlineLevel="1" x14ac:dyDescent="0.25">
      <c r="A41" s="569">
        <v>28</v>
      </c>
      <c r="B41" s="584" t="s">
        <v>361</v>
      </c>
      <c r="C41" s="504">
        <v>2234.5700000000002</v>
      </c>
      <c r="D41" s="563">
        <v>1E-3</v>
      </c>
      <c r="E41" s="563">
        <v>1</v>
      </c>
      <c r="F41" s="562">
        <f t="shared" si="12"/>
        <v>137636.10458000001</v>
      </c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46">
        <f t="shared" si="10"/>
        <v>137636.10458000001</v>
      </c>
    </row>
    <row r="42" spans="1:26" outlineLevel="1" x14ac:dyDescent="0.25">
      <c r="A42" s="569">
        <v>29</v>
      </c>
      <c r="B42" s="584" t="s">
        <v>378</v>
      </c>
      <c r="C42" s="504">
        <v>0.36</v>
      </c>
      <c r="D42" s="563">
        <v>10</v>
      </c>
      <c r="E42" s="563">
        <v>1</v>
      </c>
      <c r="F42" s="575"/>
      <c r="G42" s="562"/>
      <c r="H42" s="562"/>
      <c r="I42" s="562"/>
      <c r="J42" s="562"/>
      <c r="K42" s="562"/>
      <c r="L42" s="562">
        <f t="shared" ref="L42:L43" si="13">$C42*$D42*L$1</f>
        <v>1155.5999999999999</v>
      </c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46">
        <f t="shared" si="10"/>
        <v>1155.5999999999999</v>
      </c>
    </row>
    <row r="43" spans="1:26" outlineLevel="1" x14ac:dyDescent="0.25">
      <c r="A43" s="569">
        <v>30</v>
      </c>
      <c r="B43" s="584" t="s">
        <v>563</v>
      </c>
      <c r="C43" s="504">
        <v>1.02</v>
      </c>
      <c r="D43" s="563">
        <v>1</v>
      </c>
      <c r="E43" s="563">
        <v>1</v>
      </c>
      <c r="F43" s="575"/>
      <c r="G43" s="562"/>
      <c r="H43" s="562"/>
      <c r="I43" s="562"/>
      <c r="J43" s="562"/>
      <c r="K43" s="562"/>
      <c r="L43" s="562">
        <f t="shared" si="13"/>
        <v>327.42</v>
      </c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46">
        <f t="shared" si="10"/>
        <v>327.42</v>
      </c>
    </row>
    <row r="44" spans="1:26" outlineLevel="1" x14ac:dyDescent="0.25">
      <c r="A44" s="569">
        <v>31</v>
      </c>
      <c r="B44" s="584" t="s">
        <v>369</v>
      </c>
      <c r="C44" s="504">
        <v>0.37</v>
      </c>
      <c r="D44" s="563">
        <v>1</v>
      </c>
      <c r="E44" s="563">
        <v>1</v>
      </c>
      <c r="F44" s="575"/>
      <c r="G44" s="562"/>
      <c r="H44" s="562"/>
      <c r="I44" s="562">
        <f>$C44*№4!E21*I$1</f>
        <v>5.18</v>
      </c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46">
        <f t="shared" si="10"/>
        <v>5.18</v>
      </c>
    </row>
    <row r="45" spans="1:26" s="75" customFormat="1" x14ac:dyDescent="0.25">
      <c r="A45" s="563"/>
      <c r="B45" s="1014" t="s">
        <v>944</v>
      </c>
      <c r="C45" s="1015"/>
      <c r="D45" s="1015"/>
      <c r="E45" s="1016"/>
      <c r="F45" s="587">
        <f t="shared" ref="F45:Y45" si="14">SUM(F14:F44)</f>
        <v>5194093.7313372949</v>
      </c>
      <c r="G45" s="587">
        <f t="shared" si="14"/>
        <v>16044</v>
      </c>
      <c r="H45" s="587">
        <f t="shared" si="14"/>
        <v>0</v>
      </c>
      <c r="I45" s="587">
        <f t="shared" si="14"/>
        <v>109431.58999999998</v>
      </c>
      <c r="J45" s="587">
        <f t="shared" si="14"/>
        <v>480163.2</v>
      </c>
      <c r="K45" s="587">
        <f t="shared" si="14"/>
        <v>0</v>
      </c>
      <c r="L45" s="587">
        <f t="shared" si="14"/>
        <v>3347.3879999999999</v>
      </c>
      <c r="M45" s="587">
        <f t="shared" si="14"/>
        <v>2468.3559999999998</v>
      </c>
      <c r="N45" s="587">
        <f t="shared" si="14"/>
        <v>180.36</v>
      </c>
      <c r="O45" s="587">
        <f t="shared" si="14"/>
        <v>210450</v>
      </c>
      <c r="P45" s="587">
        <f t="shared" si="14"/>
        <v>63888.03</v>
      </c>
      <c r="Q45" s="587">
        <f t="shared" si="14"/>
        <v>6900</v>
      </c>
      <c r="R45" s="587">
        <f t="shared" si="14"/>
        <v>61693.150000000009</v>
      </c>
      <c r="S45" s="587">
        <f t="shared" si="14"/>
        <v>0</v>
      </c>
      <c r="T45" s="587">
        <f t="shared" si="14"/>
        <v>0</v>
      </c>
      <c r="U45" s="587">
        <f t="shared" si="14"/>
        <v>0</v>
      </c>
      <c r="V45" s="587">
        <f t="shared" si="14"/>
        <v>0</v>
      </c>
      <c r="W45" s="587">
        <f t="shared" si="14"/>
        <v>2745.0099999999998</v>
      </c>
      <c r="X45" s="587">
        <f t="shared" si="14"/>
        <v>0</v>
      </c>
      <c r="Y45" s="587">
        <f t="shared" si="14"/>
        <v>0</v>
      </c>
      <c r="Z45" s="588">
        <f>SUM(F45:Y45)</f>
        <v>6151404.8153372956</v>
      </c>
    </row>
    <row r="46" spans="1:26" x14ac:dyDescent="0.25">
      <c r="A46" s="563"/>
      <c r="B46" s="1011" t="s">
        <v>74</v>
      </c>
      <c r="C46" s="1012"/>
      <c r="D46" s="1012"/>
      <c r="E46" s="1013"/>
      <c r="F46" s="598">
        <f t="shared" ref="F46:Y46" si="15">F12+F45</f>
        <v>5336018.1813372951</v>
      </c>
      <c r="G46" s="598">
        <f t="shared" si="15"/>
        <v>22495.73</v>
      </c>
      <c r="H46" s="598">
        <f t="shared" si="15"/>
        <v>32.260000000000005</v>
      </c>
      <c r="I46" s="598">
        <f t="shared" si="15"/>
        <v>117904.10999999999</v>
      </c>
      <c r="J46" s="598">
        <f t="shared" si="15"/>
        <v>480796.85000000003</v>
      </c>
      <c r="K46" s="598">
        <f t="shared" si="15"/>
        <v>246.54000000000002</v>
      </c>
      <c r="L46" s="598">
        <f t="shared" si="15"/>
        <v>4087.0279999999998</v>
      </c>
      <c r="M46" s="598">
        <f t="shared" si="15"/>
        <v>3348.5559999999996</v>
      </c>
      <c r="N46" s="598">
        <f t="shared" si="15"/>
        <v>208.01000000000002</v>
      </c>
      <c r="O46" s="598">
        <f t="shared" si="15"/>
        <v>280727.88</v>
      </c>
      <c r="P46" s="598">
        <f t="shared" si="15"/>
        <v>71747.63</v>
      </c>
      <c r="Q46" s="598">
        <f t="shared" si="15"/>
        <v>9204.1899999999987</v>
      </c>
      <c r="R46" s="598">
        <f t="shared" si="15"/>
        <v>79801.8</v>
      </c>
      <c r="S46" s="598">
        <f t="shared" si="15"/>
        <v>165.91</v>
      </c>
      <c r="T46" s="598">
        <f t="shared" si="15"/>
        <v>1071.46</v>
      </c>
      <c r="U46" s="598">
        <f t="shared" si="15"/>
        <v>1071.46</v>
      </c>
      <c r="V46" s="598">
        <f t="shared" si="15"/>
        <v>368901.2699999999</v>
      </c>
      <c r="W46" s="598">
        <f t="shared" si="15"/>
        <v>4765.7899999999991</v>
      </c>
      <c r="X46" s="598">
        <f t="shared" si="15"/>
        <v>152.07</v>
      </c>
      <c r="Y46" s="598">
        <f t="shared" si="15"/>
        <v>152.07</v>
      </c>
      <c r="Z46" s="599">
        <f>SUM(F46:Y46)</f>
        <v>6782898.7953372952</v>
      </c>
    </row>
    <row r="47" spans="1:26" x14ac:dyDescent="0.25">
      <c r="C47" s="57">
        <v>2019</v>
      </c>
      <c r="E47" s="76"/>
      <c r="F47" s="76">
        <f>№1!J33</f>
        <v>5194093.7289372953</v>
      </c>
      <c r="G47" s="76">
        <f>№2!J20</f>
        <v>16044</v>
      </c>
      <c r="H47" s="76"/>
      <c r="I47" s="76">
        <f>№4!J23</f>
        <v>109431.59</v>
      </c>
      <c r="J47" s="76">
        <f>№5!J32</f>
        <v>480163.2</v>
      </c>
      <c r="K47" s="76"/>
      <c r="L47" s="76">
        <f>№7!J23</f>
        <v>3347.3879999999999</v>
      </c>
      <c r="M47" s="76">
        <f>№8!J22</f>
        <v>2468.3559999999998</v>
      </c>
      <c r="N47" s="76">
        <f>№9!J21</f>
        <v>180.36</v>
      </c>
      <c r="O47" s="76">
        <f>№10!J20</f>
        <v>210450</v>
      </c>
      <c r="P47" s="76">
        <f>№11!J21</f>
        <v>63888.03</v>
      </c>
      <c r="Q47" s="76">
        <f>№12!J22</f>
        <v>6900</v>
      </c>
      <c r="R47" s="76">
        <f>№13!J22</f>
        <v>61693.15</v>
      </c>
      <c r="S47" s="76"/>
      <c r="T47" s="76"/>
      <c r="U47" s="76"/>
      <c r="V47" s="76"/>
      <c r="W47" s="76">
        <f>№18!J18</f>
        <v>2745.0099999999998</v>
      </c>
      <c r="X47" s="76"/>
      <c r="Y47" s="77"/>
    </row>
    <row r="48" spans="1:26" ht="25.5" x14ac:dyDescent="0.25">
      <c r="B48" s="561" t="s">
        <v>329</v>
      </c>
      <c r="C48" s="563">
        <v>80</v>
      </c>
      <c r="E48" s="57" t="s">
        <v>958</v>
      </c>
      <c r="F48" s="76">
        <f>F47-F45</f>
        <v>-2.3999996483325958E-3</v>
      </c>
      <c r="G48" s="76">
        <f t="shared" ref="G48:Y48" si="16">G47-G45</f>
        <v>0</v>
      </c>
      <c r="H48" s="76">
        <f t="shared" si="16"/>
        <v>0</v>
      </c>
      <c r="I48" s="76">
        <f>I47-I45</f>
        <v>0</v>
      </c>
      <c r="J48" s="76">
        <f t="shared" si="16"/>
        <v>0</v>
      </c>
      <c r="K48" s="76">
        <f t="shared" si="16"/>
        <v>0</v>
      </c>
      <c r="L48" s="76">
        <f t="shared" si="16"/>
        <v>0</v>
      </c>
      <c r="M48" s="76">
        <f t="shared" si="16"/>
        <v>0</v>
      </c>
      <c r="N48" s="76">
        <f t="shared" si="16"/>
        <v>0</v>
      </c>
      <c r="O48" s="76">
        <f t="shared" si="16"/>
        <v>0</v>
      </c>
      <c r="P48" s="76">
        <f t="shared" si="16"/>
        <v>0</v>
      </c>
      <c r="Q48" s="76">
        <f t="shared" si="16"/>
        <v>0</v>
      </c>
      <c r="R48" s="76">
        <f t="shared" si="16"/>
        <v>0</v>
      </c>
      <c r="S48" s="76">
        <f t="shared" si="16"/>
        <v>0</v>
      </c>
      <c r="T48" s="76">
        <f t="shared" si="16"/>
        <v>0</v>
      </c>
      <c r="U48" s="76">
        <f t="shared" si="16"/>
        <v>0</v>
      </c>
      <c r="V48" s="76">
        <f t="shared" si="16"/>
        <v>0</v>
      </c>
      <c r="W48" s="76">
        <f t="shared" si="16"/>
        <v>0</v>
      </c>
      <c r="X48" s="76">
        <f t="shared" si="16"/>
        <v>0</v>
      </c>
      <c r="Y48" s="76">
        <f t="shared" si="16"/>
        <v>0</v>
      </c>
    </row>
    <row r="49" spans="2:3" ht="25.5" x14ac:dyDescent="0.25">
      <c r="B49" s="561" t="s">
        <v>330</v>
      </c>
      <c r="C49" s="563">
        <v>17</v>
      </c>
    </row>
    <row r="50" spans="2:3" x14ac:dyDescent="0.25">
      <c r="B50" s="561" t="s">
        <v>949</v>
      </c>
      <c r="C50" s="563">
        <v>27</v>
      </c>
    </row>
    <row r="51" spans="2:3" x14ac:dyDescent="0.25">
      <c r="B51" s="589" t="s">
        <v>74</v>
      </c>
      <c r="C51" s="563">
        <f>SUM(C48:C50)</f>
        <v>124</v>
      </c>
    </row>
  </sheetData>
  <mergeCells count="8">
    <mergeCell ref="B46:E46"/>
    <mergeCell ref="B45:E45"/>
    <mergeCell ref="A1:A3"/>
    <mergeCell ref="C1:C3"/>
    <mergeCell ref="D1:D3"/>
    <mergeCell ref="E1:E3"/>
    <mergeCell ref="B1:B3"/>
    <mergeCell ref="B12:E12"/>
  </mergeCells>
  <pageMargins left="0" right="0" top="0.55118110236220474" bottom="0.35433070866141736" header="0" footer="0"/>
  <pageSetup paperSize="9" scale="70" orientation="landscape" r:id="rId1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24"/>
  <sheetViews>
    <sheetView zoomScaleNormal="100" workbookViewId="0">
      <pane xSplit="2" ySplit="4" topLeftCell="C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6.7109375" style="60" hidden="1" customWidth="1"/>
    <col min="11" max="12" width="0" style="60" hidden="1" customWidth="1"/>
    <col min="13" max="16384" width="8.85546875" style="60"/>
  </cols>
  <sheetData>
    <row r="1" spans="1:12" x14ac:dyDescent="0.25">
      <c r="A1" s="1143" t="s">
        <v>1411</v>
      </c>
      <c r="B1" s="1143"/>
      <c r="C1" s="1143"/>
      <c r="D1" s="1143"/>
      <c r="E1" s="1143"/>
      <c r="F1" s="1143"/>
      <c r="G1" s="1143"/>
      <c r="H1" s="1143"/>
      <c r="I1" s="1143"/>
    </row>
    <row r="2" spans="1:12" ht="6" customHeight="1" x14ac:dyDescent="0.25"/>
    <row r="3" spans="1:12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2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2" ht="87" outlineLevel="1" x14ac:dyDescent="0.25">
      <c r="A6" s="20" t="s">
        <v>129</v>
      </c>
      <c r="B6" s="147" t="s">
        <v>157</v>
      </c>
      <c r="C6" s="875">
        <f>E6/D6</f>
        <v>1.4475481269510926E-2</v>
      </c>
      <c r="D6" s="506">
        <f>'Свод РЦВК 2020'!I35</f>
        <v>496</v>
      </c>
      <c r="E6" s="905">
        <f>K8/G6</f>
        <v>7.1798387096774192</v>
      </c>
      <c r="F6" s="875">
        <f>J7/1000</f>
        <v>1191.6215400000001</v>
      </c>
      <c r="G6" s="881">
        <f>L7</f>
        <v>334.61236100190951</v>
      </c>
      <c r="H6" s="512">
        <f>E6*G6</f>
        <v>2402.4627822580646</v>
      </c>
      <c r="I6" s="151" t="s">
        <v>1399</v>
      </c>
      <c r="J6" s="60" t="s">
        <v>1312</v>
      </c>
    </row>
    <row r="7" spans="1:12" x14ac:dyDescent="0.25">
      <c r="A7" s="1006" t="s">
        <v>8</v>
      </c>
      <c r="B7" s="1007"/>
      <c r="C7" s="1007"/>
      <c r="D7" s="1007"/>
      <c r="E7" s="1007"/>
      <c r="F7" s="1007"/>
      <c r="G7" s="1123"/>
      <c r="H7" s="56">
        <f>SUM(H6:H6)</f>
        <v>2402.4627822580646</v>
      </c>
      <c r="I7" s="447"/>
      <c r="J7" s="59">
        <f>ROUND(37230.33*2*12*1.302,2)+ROUND(10848*2*1.302,2)</f>
        <v>1191621.54</v>
      </c>
      <c r="K7" s="59">
        <f>2*1780.6</f>
        <v>3561.2</v>
      </c>
      <c r="L7" s="59">
        <f>J7/K7</f>
        <v>334.61236100190951</v>
      </c>
    </row>
    <row r="8" spans="1:12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59">
        <f>J7/D6</f>
        <v>2402.4627822580646</v>
      </c>
    </row>
    <row r="9" spans="1:12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12" ht="15" customHeight="1" outlineLevel="1" x14ac:dyDescent="0.25">
      <c r="A11" s="19">
        <v>1</v>
      </c>
      <c r="B11" s="147"/>
      <c r="C11" s="148"/>
      <c r="D11" s="556">
        <f>№8!D11</f>
        <v>265212.859</v>
      </c>
      <c r="E11" s="43">
        <f>C11/D11</f>
        <v>0</v>
      </c>
      <c r="F11" s="43">
        <v>1</v>
      </c>
      <c r="G11" s="148">
        <f>SUMIF('МЗ РЦВК'!$B$5:$B$45,$B11,'МЗ РЦВК'!$C$5:$C$45)</f>
        <v>0</v>
      </c>
      <c r="H11" s="121">
        <f>E11*G11/F11</f>
        <v>0</v>
      </c>
      <c r="I11" s="1095" t="s">
        <v>348</v>
      </c>
    </row>
    <row r="12" spans="1:12" hidden="1" outlineLevel="1" x14ac:dyDescent="0.25">
      <c r="A12" s="19">
        <v>2</v>
      </c>
      <c r="B12" s="147"/>
      <c r="C12" s="148"/>
      <c r="D12" s="557">
        <f t="shared" ref="D12:D17" si="0">$D$11</f>
        <v>265212.859</v>
      </c>
      <c r="E12" s="43">
        <f t="shared" ref="E12:E15" si="1">C12/D12</f>
        <v>0</v>
      </c>
      <c r="F12" s="43">
        <v>1</v>
      </c>
      <c r="G12" s="148">
        <f>SUMIF('МЗ РЦВК'!$B$5:$B$45,$B12,'МЗ РЦВК'!$C$5:$C$45)</f>
        <v>0</v>
      </c>
      <c r="H12" s="121">
        <f t="shared" ref="H12:H17" si="2">E12*G12/F12</f>
        <v>0</v>
      </c>
      <c r="I12" s="1095"/>
    </row>
    <row r="13" spans="1:12" hidden="1" outlineLevel="1" x14ac:dyDescent="0.25">
      <c r="A13" s="19">
        <v>3</v>
      </c>
      <c r="B13" s="147"/>
      <c r="C13" s="148"/>
      <c r="D13" s="557">
        <f t="shared" si="0"/>
        <v>265212.859</v>
      </c>
      <c r="E13" s="43">
        <f t="shared" si="1"/>
        <v>0</v>
      </c>
      <c r="F13" s="43">
        <v>1</v>
      </c>
      <c r="G13" s="148">
        <f>SUMIF('МЗ РЦВК'!$B$5:$B$45,$B13,'МЗ РЦВК'!$C$5:$C$45)</f>
        <v>0</v>
      </c>
      <c r="H13" s="121">
        <f t="shared" si="2"/>
        <v>0</v>
      </c>
      <c r="I13" s="1095"/>
    </row>
    <row r="14" spans="1:12" ht="27.75" hidden="1" customHeight="1" outlineLevel="1" x14ac:dyDescent="0.25">
      <c r="A14" s="19">
        <v>4</v>
      </c>
      <c r="B14" s="147"/>
      <c r="C14" s="148"/>
      <c r="D14" s="557">
        <f t="shared" si="0"/>
        <v>265212.859</v>
      </c>
      <c r="E14" s="625">
        <f t="shared" si="1"/>
        <v>0</v>
      </c>
      <c r="F14" s="43">
        <v>1</v>
      </c>
      <c r="G14" s="148">
        <f>SUMIF('МЗ РЦВК'!$B$5:$B$45,$B14,'МЗ РЦВК'!$C$5:$C$45)</f>
        <v>0</v>
      </c>
      <c r="H14" s="121">
        <f t="shared" si="2"/>
        <v>0</v>
      </c>
      <c r="I14" s="1095"/>
    </row>
    <row r="15" spans="1:12" ht="15" hidden="1" customHeight="1" outlineLevel="1" x14ac:dyDescent="0.25">
      <c r="A15" s="19">
        <v>5</v>
      </c>
      <c r="B15" s="147"/>
      <c r="C15" s="148"/>
      <c r="D15" s="557">
        <f t="shared" si="0"/>
        <v>265212.859</v>
      </c>
      <c r="E15" s="43">
        <f t="shared" si="1"/>
        <v>0</v>
      </c>
      <c r="F15" s="43">
        <v>1</v>
      </c>
      <c r="G15" s="148">
        <f>SUMIF('МЗ РЦВК'!$B$5:$B$45,$B15,'МЗ РЦВК'!$C$5:$C$45)</f>
        <v>0</v>
      </c>
      <c r="H15" s="121">
        <f t="shared" si="2"/>
        <v>0</v>
      </c>
      <c r="I15" s="1095"/>
    </row>
    <row r="16" spans="1:12" hidden="1" outlineLevel="1" x14ac:dyDescent="0.25">
      <c r="A16" s="19">
        <v>6</v>
      </c>
      <c r="B16" s="147"/>
      <c r="C16" s="148"/>
      <c r="D16" s="557">
        <f t="shared" si="0"/>
        <v>265212.859</v>
      </c>
      <c r="E16" s="43">
        <f>C16/D16</f>
        <v>0</v>
      </c>
      <c r="F16" s="43">
        <v>1</v>
      </c>
      <c r="G16" s="148">
        <f>SUMIF('МЗ РЦВК'!$B$5:$B$45,$B16,'МЗ РЦВК'!$C$5:$C$45)</f>
        <v>0</v>
      </c>
      <c r="H16" s="121">
        <f t="shared" si="2"/>
        <v>0</v>
      </c>
      <c r="I16" s="1095"/>
    </row>
    <row r="17" spans="1:9" hidden="1" outlineLevel="1" x14ac:dyDescent="0.25">
      <c r="A17" s="19">
        <v>7</v>
      </c>
      <c r="B17" s="147"/>
      <c r="C17" s="148"/>
      <c r="D17" s="557">
        <f t="shared" si="0"/>
        <v>265212.859</v>
      </c>
      <c r="E17" s="43">
        <f>C17/D17</f>
        <v>0</v>
      </c>
      <c r="F17" s="43">
        <v>1</v>
      </c>
      <c r="G17" s="148">
        <f>SUMIF('МЗ РЦВК'!$B$5:$B$45,$B17,'МЗ РЦВК'!$C$5:$C$45)</f>
        <v>0</v>
      </c>
      <c r="H17" s="121">
        <f t="shared" si="2"/>
        <v>0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ROUND(SUM(H11:H17),2)</f>
        <v>0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900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/>
      <c r="C22" s="132"/>
      <c r="D22" s="44">
        <f>D6</f>
        <v>496</v>
      </c>
      <c r="E22" s="43"/>
      <c r="F22" s="43">
        <v>1</v>
      </c>
      <c r="G22" s="121"/>
      <c r="H22" s="121">
        <f>ROUND((E22*G22/F22),2)</f>
        <v>0</v>
      </c>
      <c r="I22" s="1118"/>
    </row>
    <row r="23" spans="1:9" ht="15" customHeight="1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0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2402.4627822580646</v>
      </c>
      <c r="I24" s="43"/>
    </row>
  </sheetData>
  <mergeCells count="9">
    <mergeCell ref="I22:I23"/>
    <mergeCell ref="A23:G23"/>
    <mergeCell ref="A24:G24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4" t="s">
        <v>1386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38.25" x14ac:dyDescent="0.25">
      <c r="A6" s="130" t="str">
        <f>'Свод РЦВК 2020'!D35</f>
        <v>Формирование комплекта бюджетной отчетности государственных органов</v>
      </c>
      <c r="B6" s="133">
        <f>№30!H7</f>
        <v>2402.4627822580646</v>
      </c>
      <c r="C6" s="133">
        <f>№30!H18</f>
        <v>0</v>
      </c>
      <c r="D6" s="133">
        <f>№30!H23</f>
        <v>0</v>
      </c>
      <c r="E6" s="275"/>
      <c r="F6" s="275"/>
      <c r="G6" s="275"/>
      <c r="H6" s="275"/>
      <c r="I6" s="275"/>
      <c r="J6" s="275"/>
      <c r="K6" s="275"/>
      <c r="L6" s="133">
        <f>SUM(B6:K6)</f>
        <v>2402.4627822580646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2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" sqref="L1:L1048576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bestFit="1" customWidth="1"/>
  </cols>
  <sheetData>
    <row r="1" spans="1:13" x14ac:dyDescent="0.25">
      <c r="A1" s="1143" t="s">
        <v>1411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3" ht="6" customHeight="1" x14ac:dyDescent="0.25"/>
    <row r="3" spans="1:13" ht="15" customHeight="1" x14ac:dyDescent="0.25">
      <c r="A3" s="1158" t="s">
        <v>0</v>
      </c>
      <c r="B3" s="1158" t="s">
        <v>62</v>
      </c>
      <c r="C3" s="1158" t="s">
        <v>1419</v>
      </c>
      <c r="D3" s="1158" t="s">
        <v>1430</v>
      </c>
      <c r="E3" s="1158"/>
      <c r="F3" s="1158"/>
      <c r="G3" s="1158"/>
      <c r="H3" s="1156" t="s">
        <v>1436</v>
      </c>
      <c r="I3" s="1158" t="s">
        <v>1428</v>
      </c>
      <c r="J3" s="1158" t="s">
        <v>3</v>
      </c>
      <c r="K3" s="1145" t="s">
        <v>4</v>
      </c>
    </row>
    <row r="4" spans="1:13" x14ac:dyDescent="0.25">
      <c r="A4" s="1158"/>
      <c r="B4" s="1158"/>
      <c r="C4" s="1158"/>
      <c r="D4" s="1157" t="s">
        <v>944</v>
      </c>
      <c r="E4" s="1158" t="s">
        <v>1420</v>
      </c>
      <c r="F4" s="1158"/>
      <c r="G4" s="1158"/>
      <c r="H4" s="1156"/>
      <c r="I4" s="1158"/>
      <c r="J4" s="1158"/>
      <c r="K4" s="1145"/>
    </row>
    <row r="5" spans="1:13" ht="38.25" x14ac:dyDescent="0.25">
      <c r="A5" s="1158"/>
      <c r="B5" s="1158"/>
      <c r="C5" s="1158"/>
      <c r="D5" s="1157"/>
      <c r="E5" s="967" t="s">
        <v>1421</v>
      </c>
      <c r="F5" s="967" t="s">
        <v>1422</v>
      </c>
      <c r="G5" s="967" t="s">
        <v>1423</v>
      </c>
      <c r="H5" s="1156"/>
      <c r="I5" s="1158"/>
      <c r="J5" s="1158"/>
      <c r="K5" s="1145"/>
    </row>
    <row r="6" spans="1:13" s="961" customFormat="1" ht="11.25" x14ac:dyDescent="0.2">
      <c r="A6" s="957">
        <v>1</v>
      </c>
      <c r="B6" s="957">
        <v>2</v>
      </c>
      <c r="C6" s="957">
        <v>3</v>
      </c>
      <c r="D6" s="957" t="s">
        <v>1433</v>
      </c>
      <c r="E6" s="957">
        <v>5</v>
      </c>
      <c r="F6" s="957">
        <v>6</v>
      </c>
      <c r="G6" s="957">
        <v>7</v>
      </c>
      <c r="H6" s="957" t="s">
        <v>1432</v>
      </c>
      <c r="I6" s="957">
        <v>9</v>
      </c>
      <c r="J6" s="957" t="s">
        <v>1434</v>
      </c>
      <c r="K6" s="957">
        <v>11</v>
      </c>
    </row>
    <row r="7" spans="1:13" ht="51" outlineLevel="1" x14ac:dyDescent="0.25">
      <c r="A7" s="958">
        <v>1</v>
      </c>
      <c r="B7" s="959" t="s">
        <v>1424</v>
      </c>
      <c r="C7" s="1168">
        <v>2</v>
      </c>
      <c r="D7" s="960">
        <f>E7+F7+G7</f>
        <v>38134.33</v>
      </c>
      <c r="E7" s="960">
        <v>10848</v>
      </c>
      <c r="F7" s="960">
        <v>12833.18</v>
      </c>
      <c r="G7" s="960">
        <v>14453.150000000001</v>
      </c>
      <c r="H7" s="960">
        <f>C7*D7*12</f>
        <v>915223.92</v>
      </c>
      <c r="I7" s="962">
        <f>'Свод РЦВК 2020'!I35</f>
        <v>496</v>
      </c>
      <c r="J7" s="960">
        <f>H7/I7</f>
        <v>1845.2095161290324</v>
      </c>
      <c r="K7" s="1173" t="s">
        <v>1441</v>
      </c>
    </row>
    <row r="8" spans="1:13" ht="63.75" outlineLevel="1" x14ac:dyDescent="0.25">
      <c r="A8" s="958">
        <v>2</v>
      </c>
      <c r="B8" s="959" t="s">
        <v>1427</v>
      </c>
      <c r="C8" s="1169"/>
      <c r="D8" s="960">
        <f t="shared" ref="D8" si="0">E8+F8+G8</f>
        <v>11516.567660000001</v>
      </c>
      <c r="E8" s="960">
        <f>E7*30.2%</f>
        <v>3276.096</v>
      </c>
      <c r="F8" s="960">
        <f t="shared" ref="F8:G8" si="1">F7*30.2%</f>
        <v>3875.6203599999999</v>
      </c>
      <c r="G8" s="960">
        <f t="shared" si="1"/>
        <v>4364.8513000000003</v>
      </c>
      <c r="H8" s="960">
        <f>C7*D8*12</f>
        <v>276397.62384000001</v>
      </c>
      <c r="I8" s="481">
        <f>$I$7</f>
        <v>496</v>
      </c>
      <c r="J8" s="960">
        <f>H8/I8</f>
        <v>557.25327387096775</v>
      </c>
      <c r="K8" s="1174"/>
    </row>
    <row r="9" spans="1:13" x14ac:dyDescent="0.25">
      <c r="A9" s="1098" t="s">
        <v>8</v>
      </c>
      <c r="B9" s="1098"/>
      <c r="C9" s="1098"/>
      <c r="D9" s="1098"/>
      <c r="E9" s="1098"/>
      <c r="F9" s="1098"/>
      <c r="G9" s="1098"/>
      <c r="H9" s="964">
        <f>H7+H8</f>
        <v>1191621.5438399999</v>
      </c>
      <c r="I9" s="964">
        <f>I7</f>
        <v>496</v>
      </c>
      <c r="J9" s="964">
        <f t="shared" ref="J9" si="2">J7+J8</f>
        <v>2402.46279</v>
      </c>
      <c r="K9" s="963"/>
      <c r="L9" s="499">
        <f>№30!J7-'№30 раб.'!H9</f>
        <v>-3.8399999029934406E-3</v>
      </c>
    </row>
    <row r="10" spans="1:13" x14ac:dyDescent="0.25">
      <c r="A10" s="1146" t="s">
        <v>1425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8"/>
    </row>
    <row r="11" spans="1:13" ht="63.75" x14ac:dyDescent="0.25">
      <c r="A11" s="966" t="s">
        <v>0</v>
      </c>
      <c r="B11" s="1153" t="s">
        <v>1431</v>
      </c>
      <c r="C11" s="1154"/>
      <c r="D11" s="1155"/>
      <c r="E11" s="1149" t="s">
        <v>1429</v>
      </c>
      <c r="F11" s="1150"/>
      <c r="G11" s="477" t="s">
        <v>939</v>
      </c>
      <c r="H11" s="476" t="s">
        <v>1436</v>
      </c>
      <c r="I11" s="476" t="s">
        <v>1428</v>
      </c>
      <c r="J11" s="477" t="s">
        <v>3</v>
      </c>
      <c r="K11" s="477" t="s">
        <v>4</v>
      </c>
    </row>
    <row r="12" spans="1:13" s="961" customFormat="1" ht="11.25" collapsed="1" x14ac:dyDescent="0.2">
      <c r="A12" s="957">
        <v>1</v>
      </c>
      <c r="B12" s="1170">
        <v>2</v>
      </c>
      <c r="C12" s="1171"/>
      <c r="D12" s="1172"/>
      <c r="E12" s="1170">
        <v>3</v>
      </c>
      <c r="F12" s="1172"/>
      <c r="G12" s="957">
        <v>4</v>
      </c>
      <c r="H12" s="957">
        <v>5</v>
      </c>
      <c r="I12" s="957">
        <v>6</v>
      </c>
      <c r="J12" s="957">
        <v>7</v>
      </c>
      <c r="K12" s="957">
        <v>8</v>
      </c>
      <c r="L12" s="1166"/>
      <c r="M12" s="1167"/>
    </row>
    <row r="13" spans="1:13" hidden="1" outlineLevel="1" x14ac:dyDescent="0.25">
      <c r="A13" s="958">
        <v>1</v>
      </c>
      <c r="B13" s="1159"/>
      <c r="C13" s="1160"/>
      <c r="D13" s="1161"/>
      <c r="E13" s="1162"/>
      <c r="F13" s="1163"/>
      <c r="G13" s="960"/>
      <c r="H13" s="960"/>
      <c r="I13" s="481">
        <f>$I$7</f>
        <v>496</v>
      </c>
      <c r="J13" s="960">
        <f>H13/I13</f>
        <v>0</v>
      </c>
      <c r="K13" s="969"/>
      <c r="L13" s="165"/>
      <c r="M13" s="165"/>
    </row>
    <row r="14" spans="1:13" hidden="1" outlineLevel="1" x14ac:dyDescent="0.25">
      <c r="A14" s="958">
        <v>2</v>
      </c>
      <c r="B14" s="1159"/>
      <c r="C14" s="1160"/>
      <c r="D14" s="1161"/>
      <c r="E14" s="1162"/>
      <c r="F14" s="1163"/>
      <c r="G14" s="960"/>
      <c r="H14" s="960"/>
      <c r="I14" s="481">
        <f t="shared" ref="I14:I21" si="3">$I$7</f>
        <v>496</v>
      </c>
      <c r="J14" s="960">
        <f t="shared" ref="J14:J21" si="4">H14/I14</f>
        <v>0</v>
      </c>
      <c r="K14" s="969"/>
      <c r="L14" s="165"/>
      <c r="M14" s="165"/>
    </row>
    <row r="15" spans="1:13" hidden="1" outlineLevel="1" x14ac:dyDescent="0.25">
      <c r="A15" s="958">
        <v>3</v>
      </c>
      <c r="B15" s="1159"/>
      <c r="C15" s="1160"/>
      <c r="D15" s="1161"/>
      <c r="E15" s="1162"/>
      <c r="F15" s="1163"/>
      <c r="G15" s="960"/>
      <c r="H15" s="960"/>
      <c r="I15" s="481">
        <f t="shared" si="3"/>
        <v>496</v>
      </c>
      <c r="J15" s="960">
        <f t="shared" si="4"/>
        <v>0</v>
      </c>
      <c r="K15" s="969"/>
      <c r="L15" s="165"/>
      <c r="M15" s="165"/>
    </row>
    <row r="16" spans="1:13" hidden="1" outlineLevel="1" x14ac:dyDescent="0.25">
      <c r="A16" s="958">
        <v>4</v>
      </c>
      <c r="B16" s="1159"/>
      <c r="C16" s="1160"/>
      <c r="D16" s="1161"/>
      <c r="E16" s="1164"/>
      <c r="F16" s="1165"/>
      <c r="G16" s="960"/>
      <c r="H16" s="960"/>
      <c r="I16" s="481">
        <f t="shared" si="3"/>
        <v>496</v>
      </c>
      <c r="J16" s="960">
        <f t="shared" si="4"/>
        <v>0</v>
      </c>
      <c r="K16" s="969"/>
      <c r="L16" s="165"/>
      <c r="M16" s="165"/>
    </row>
    <row r="17" spans="1:13" ht="30" hidden="1" customHeight="1" outlineLevel="1" x14ac:dyDescent="0.25">
      <c r="A17" s="958">
        <v>5</v>
      </c>
      <c r="B17" s="1159"/>
      <c r="C17" s="1160"/>
      <c r="D17" s="1161"/>
      <c r="E17" s="1162"/>
      <c r="F17" s="1163"/>
      <c r="G17" s="971"/>
      <c r="H17" s="960"/>
      <c r="I17" s="481">
        <f t="shared" si="3"/>
        <v>496</v>
      </c>
      <c r="J17" s="960">
        <f t="shared" si="4"/>
        <v>0</v>
      </c>
      <c r="K17" s="969"/>
      <c r="L17" s="165"/>
      <c r="M17" s="165"/>
    </row>
    <row r="18" spans="1:13" hidden="1" outlineLevel="1" x14ac:dyDescent="0.25">
      <c r="A18" s="958">
        <v>6</v>
      </c>
      <c r="B18" s="1159"/>
      <c r="C18" s="1160"/>
      <c r="D18" s="1161"/>
      <c r="E18" s="1162"/>
      <c r="F18" s="1163"/>
      <c r="G18" s="960"/>
      <c r="H18" s="960"/>
      <c r="I18" s="481">
        <f t="shared" si="3"/>
        <v>496</v>
      </c>
      <c r="J18" s="960">
        <f t="shared" si="4"/>
        <v>0</v>
      </c>
      <c r="K18" s="969"/>
      <c r="L18" s="165"/>
      <c r="M18" s="165"/>
    </row>
    <row r="19" spans="1:13" hidden="1" outlineLevel="1" x14ac:dyDescent="0.25">
      <c r="A19" s="958">
        <v>7</v>
      </c>
      <c r="B19" s="1159"/>
      <c r="C19" s="1160"/>
      <c r="D19" s="1161"/>
      <c r="E19" s="1162"/>
      <c r="F19" s="1163"/>
      <c r="G19" s="960"/>
      <c r="H19" s="960"/>
      <c r="I19" s="481">
        <f t="shared" si="3"/>
        <v>496</v>
      </c>
      <c r="J19" s="960">
        <f t="shared" si="4"/>
        <v>0</v>
      </c>
      <c r="K19" s="969"/>
      <c r="L19" s="165"/>
      <c r="M19" s="165"/>
    </row>
    <row r="20" spans="1:13" hidden="1" outlineLevel="1" x14ac:dyDescent="0.25">
      <c r="A20" s="958">
        <v>8</v>
      </c>
      <c r="B20" s="1159"/>
      <c r="C20" s="1160"/>
      <c r="D20" s="1161"/>
      <c r="E20" s="1162"/>
      <c r="F20" s="1163"/>
      <c r="G20" s="971"/>
      <c r="H20" s="960"/>
      <c r="I20" s="481">
        <f t="shared" si="3"/>
        <v>496</v>
      </c>
      <c r="J20" s="960">
        <f t="shared" si="4"/>
        <v>0</v>
      </c>
      <c r="K20" s="969"/>
      <c r="L20" s="165"/>
      <c r="M20" s="165"/>
    </row>
    <row r="21" spans="1:13" hidden="1" outlineLevel="1" x14ac:dyDescent="0.25">
      <c r="A21" s="958">
        <v>9</v>
      </c>
      <c r="B21" s="1159"/>
      <c r="C21" s="1160"/>
      <c r="D21" s="1161"/>
      <c r="E21" s="1162"/>
      <c r="F21" s="1163"/>
      <c r="G21" s="960"/>
      <c r="H21" s="960"/>
      <c r="I21" s="481">
        <f t="shared" si="3"/>
        <v>496</v>
      </c>
      <c r="J21" s="960">
        <f t="shared" si="4"/>
        <v>0</v>
      </c>
      <c r="K21" s="969"/>
      <c r="L21" s="165"/>
      <c r="M21" s="165"/>
    </row>
    <row r="22" spans="1:13" x14ac:dyDescent="0.25">
      <c r="A22" s="1098" t="s">
        <v>1435</v>
      </c>
      <c r="B22" s="1098"/>
      <c r="C22" s="1098"/>
      <c r="D22" s="1098"/>
      <c r="E22" s="1098"/>
      <c r="F22" s="1098"/>
      <c r="G22" s="1098"/>
      <c r="H22" s="964">
        <f>SUM(H13:H21)</f>
        <v>0</v>
      </c>
      <c r="I22" s="964">
        <f>I7</f>
        <v>496</v>
      </c>
      <c r="J22" s="964">
        <f>SUM(J13:J21)</f>
        <v>0</v>
      </c>
      <c r="K22" s="970"/>
    </row>
    <row r="23" spans="1:13" x14ac:dyDescent="0.25">
      <c r="A23" s="1151" t="s">
        <v>1426</v>
      </c>
      <c r="B23" s="1152"/>
      <c r="C23" s="1152"/>
      <c r="D23" s="1152"/>
      <c r="E23" s="1152"/>
      <c r="F23" s="1152"/>
      <c r="G23" s="1152"/>
      <c r="H23" s="968">
        <f>H22+H9</f>
        <v>1191621.5438399999</v>
      </c>
      <c r="I23" s="965">
        <f>I7</f>
        <v>496</v>
      </c>
      <c r="J23" s="965">
        <f>J22+J9</f>
        <v>2402.46279</v>
      </c>
      <c r="K23" s="970"/>
      <c r="L23" s="499">
        <f>J23-№30!H24</f>
        <v>7.7419354056473821E-6</v>
      </c>
    </row>
  </sheetData>
  <mergeCells count="40">
    <mergeCell ref="A23:G23"/>
    <mergeCell ref="B18:D18"/>
    <mergeCell ref="E18:F18"/>
    <mergeCell ref="B19:D19"/>
    <mergeCell ref="E19:F19"/>
    <mergeCell ref="B20:D20"/>
    <mergeCell ref="E20:F20"/>
    <mergeCell ref="B17:D17"/>
    <mergeCell ref="E17:F17"/>
    <mergeCell ref="B21:D21"/>
    <mergeCell ref="E21:F21"/>
    <mergeCell ref="A22:G22"/>
    <mergeCell ref="B15:D15"/>
    <mergeCell ref="E15:F15"/>
    <mergeCell ref="B14:D14"/>
    <mergeCell ref="E14:F14"/>
    <mergeCell ref="B16:D16"/>
    <mergeCell ref="E16:F16"/>
    <mergeCell ref="K7:K8"/>
    <mergeCell ref="A9:G9"/>
    <mergeCell ref="A10:K10"/>
    <mergeCell ref="L12:M12"/>
    <mergeCell ref="B13:D13"/>
    <mergeCell ref="E13:F13"/>
    <mergeCell ref="B11:D11"/>
    <mergeCell ref="E11:F11"/>
    <mergeCell ref="B12:D12"/>
    <mergeCell ref="E12:F12"/>
    <mergeCell ref="C7:C8"/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24"/>
  <sheetViews>
    <sheetView zoomScaleNormal="100" workbookViewId="0">
      <pane xSplit="2" ySplit="4" topLeftCell="C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20.28515625" style="60" hidden="1" customWidth="1"/>
    <col min="11" max="12" width="0" style="60" hidden="1" customWidth="1"/>
    <col min="13" max="16384" width="8.85546875" style="60"/>
  </cols>
  <sheetData>
    <row r="1" spans="1:12" x14ac:dyDescent="0.25">
      <c r="A1" s="1078" t="s">
        <v>1410</v>
      </c>
      <c r="B1" s="1078"/>
      <c r="C1" s="1078"/>
      <c r="D1" s="1078"/>
      <c r="E1" s="1078"/>
      <c r="F1" s="1078"/>
      <c r="G1" s="1078"/>
      <c r="H1" s="1078"/>
      <c r="I1" s="1078"/>
    </row>
    <row r="2" spans="1:12" ht="6" customHeight="1" x14ac:dyDescent="0.25"/>
    <row r="3" spans="1:12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2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2" ht="87" outlineLevel="1" x14ac:dyDescent="0.25">
      <c r="A6" s="20" t="s">
        <v>129</v>
      </c>
      <c r="B6" s="147" t="s">
        <v>157</v>
      </c>
      <c r="C6" s="875">
        <f>E6/D6</f>
        <v>0.2279168</v>
      </c>
      <c r="D6" s="506">
        <f>'Свод РЦВК 2020'!I36</f>
        <v>125</v>
      </c>
      <c r="E6" s="905">
        <f>K8/G6</f>
        <v>28.489599999999999</v>
      </c>
      <c r="F6" s="875">
        <f>J7/1000</f>
        <v>1062.3696100000002</v>
      </c>
      <c r="G6" s="881">
        <f>L7</f>
        <v>298.31787318881283</v>
      </c>
      <c r="H6" s="512">
        <f>E6*G6</f>
        <v>8498.9568800000015</v>
      </c>
      <c r="I6" s="151" t="s">
        <v>1314</v>
      </c>
      <c r="J6" s="60" t="s">
        <v>1313</v>
      </c>
    </row>
    <row r="7" spans="1:12" x14ac:dyDescent="0.25">
      <c r="A7" s="1006" t="s">
        <v>8</v>
      </c>
      <c r="B7" s="1007"/>
      <c r="C7" s="1007"/>
      <c r="D7" s="1007"/>
      <c r="E7" s="1007"/>
      <c r="F7" s="1007"/>
      <c r="G7" s="1123"/>
      <c r="H7" s="56">
        <f>SUM(H6:H6)</f>
        <v>8498.9568800000015</v>
      </c>
      <c r="I7" s="447"/>
      <c r="J7" s="59">
        <f>ROUND(33184.42*2*12*1.302,2)+ROUND(9763*2*1.302,2)</f>
        <v>1062369.6100000001</v>
      </c>
      <c r="K7" s="59">
        <f>2*1780.6</f>
        <v>3561.2</v>
      </c>
      <c r="L7" s="59">
        <f>J7/K7</f>
        <v>298.31787318881283</v>
      </c>
    </row>
    <row r="8" spans="1:12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K8" s="59">
        <f>J7/D6</f>
        <v>8498.9568800000015</v>
      </c>
    </row>
    <row r="9" spans="1:12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</row>
    <row r="11" spans="1:12" ht="15" customHeight="1" outlineLevel="1" x14ac:dyDescent="0.25">
      <c r="A11" s="19">
        <v>1</v>
      </c>
      <c r="B11" s="147"/>
      <c r="C11" s="148"/>
      <c r="D11" s="556">
        <f>№8!D11</f>
        <v>265212.859</v>
      </c>
      <c r="E11" s="43">
        <f>C11/D11</f>
        <v>0</v>
      </c>
      <c r="F11" s="43">
        <v>1</v>
      </c>
      <c r="G11" s="148">
        <f>SUMIF('МЗ РЦВК'!$B$5:$B$45,$B11,'МЗ РЦВК'!$C$5:$C$45)</f>
        <v>0</v>
      </c>
      <c r="H11" s="121">
        <f>E11*G11/F11</f>
        <v>0</v>
      </c>
      <c r="I11" s="1095" t="s">
        <v>348</v>
      </c>
    </row>
    <row r="12" spans="1:12" hidden="1" outlineLevel="1" x14ac:dyDescent="0.25">
      <c r="A12" s="19">
        <v>2</v>
      </c>
      <c r="B12" s="147"/>
      <c r="C12" s="148"/>
      <c r="D12" s="557">
        <f t="shared" ref="D12:D17" si="0">$D$11</f>
        <v>265212.859</v>
      </c>
      <c r="E12" s="43">
        <f t="shared" ref="E12:E15" si="1">C12/D12</f>
        <v>0</v>
      </c>
      <c r="F12" s="43">
        <v>1</v>
      </c>
      <c r="G12" s="148">
        <f>SUMIF('МЗ РЦВК'!$B$5:$B$45,$B12,'МЗ РЦВК'!$C$5:$C$45)</f>
        <v>0</v>
      </c>
      <c r="H12" s="121">
        <f t="shared" ref="H12:H17" si="2">E12*G12/F12</f>
        <v>0</v>
      </c>
      <c r="I12" s="1095"/>
    </row>
    <row r="13" spans="1:12" hidden="1" outlineLevel="1" x14ac:dyDescent="0.25">
      <c r="A13" s="19">
        <v>3</v>
      </c>
      <c r="B13" s="147"/>
      <c r="C13" s="148"/>
      <c r="D13" s="557">
        <f t="shared" si="0"/>
        <v>265212.859</v>
      </c>
      <c r="E13" s="43">
        <f t="shared" si="1"/>
        <v>0</v>
      </c>
      <c r="F13" s="43">
        <v>1</v>
      </c>
      <c r="G13" s="148">
        <f>SUMIF('МЗ РЦВК'!$B$5:$B$45,$B13,'МЗ РЦВК'!$C$5:$C$45)</f>
        <v>0</v>
      </c>
      <c r="H13" s="121">
        <f t="shared" si="2"/>
        <v>0</v>
      </c>
      <c r="I13" s="1095"/>
    </row>
    <row r="14" spans="1:12" ht="27.75" hidden="1" customHeight="1" outlineLevel="1" x14ac:dyDescent="0.25">
      <c r="A14" s="19">
        <v>4</v>
      </c>
      <c r="B14" s="147"/>
      <c r="C14" s="148"/>
      <c r="D14" s="557">
        <f t="shared" si="0"/>
        <v>265212.859</v>
      </c>
      <c r="E14" s="625">
        <f t="shared" si="1"/>
        <v>0</v>
      </c>
      <c r="F14" s="43">
        <v>1</v>
      </c>
      <c r="G14" s="148">
        <f>SUMIF('МЗ РЦВК'!$B$5:$B$45,$B14,'МЗ РЦВК'!$C$5:$C$45)</f>
        <v>0</v>
      </c>
      <c r="H14" s="121">
        <f t="shared" si="2"/>
        <v>0</v>
      </c>
      <c r="I14" s="1095"/>
    </row>
    <row r="15" spans="1:12" ht="15" hidden="1" customHeight="1" outlineLevel="1" x14ac:dyDescent="0.25">
      <c r="A15" s="19">
        <v>5</v>
      </c>
      <c r="B15" s="147"/>
      <c r="C15" s="148"/>
      <c r="D15" s="557">
        <f t="shared" si="0"/>
        <v>265212.859</v>
      </c>
      <c r="E15" s="43">
        <f t="shared" si="1"/>
        <v>0</v>
      </c>
      <c r="F15" s="43">
        <v>1</v>
      </c>
      <c r="G15" s="148">
        <f>SUMIF('МЗ РЦВК'!$B$5:$B$45,$B15,'МЗ РЦВК'!$C$5:$C$45)</f>
        <v>0</v>
      </c>
      <c r="H15" s="121">
        <f t="shared" si="2"/>
        <v>0</v>
      </c>
      <c r="I15" s="1095"/>
    </row>
    <row r="16" spans="1:12" hidden="1" outlineLevel="1" x14ac:dyDescent="0.25">
      <c r="A16" s="19">
        <v>6</v>
      </c>
      <c r="B16" s="147"/>
      <c r="C16" s="148"/>
      <c r="D16" s="557">
        <f t="shared" si="0"/>
        <v>265212.859</v>
      </c>
      <c r="E16" s="43">
        <f>C16/D16</f>
        <v>0</v>
      </c>
      <c r="F16" s="43">
        <v>1</v>
      </c>
      <c r="G16" s="148">
        <f>SUMIF('МЗ РЦВК'!$B$5:$B$45,$B16,'МЗ РЦВК'!$C$5:$C$45)</f>
        <v>0</v>
      </c>
      <c r="H16" s="121">
        <f t="shared" si="2"/>
        <v>0</v>
      </c>
      <c r="I16" s="1095"/>
    </row>
    <row r="17" spans="1:9" hidden="1" outlineLevel="1" x14ac:dyDescent="0.25">
      <c r="A17" s="19">
        <v>7</v>
      </c>
      <c r="B17" s="147"/>
      <c r="C17" s="148"/>
      <c r="D17" s="557">
        <f t="shared" si="0"/>
        <v>265212.859</v>
      </c>
      <c r="E17" s="43">
        <f>C17/D17</f>
        <v>0</v>
      </c>
      <c r="F17" s="43">
        <v>1</v>
      </c>
      <c r="G17" s="148">
        <f>SUMIF('МЗ РЦВК'!$B$5:$B$45,$B17,'МЗ РЦВК'!$C$5:$C$45)</f>
        <v>0</v>
      </c>
      <c r="H17" s="121">
        <f t="shared" si="2"/>
        <v>0</v>
      </c>
      <c r="I17" s="1095"/>
    </row>
    <row r="18" spans="1:9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ROUND(SUM(H11:H17),2)</f>
        <v>0</v>
      </c>
      <c r="I18" s="1095"/>
    </row>
    <row r="19" spans="1:9" s="123" customFormat="1" ht="67.5" x14ac:dyDescent="0.25">
      <c r="A19" s="141" t="s">
        <v>0</v>
      </c>
      <c r="B19" s="141" t="s">
        <v>9</v>
      </c>
      <c r="C19" s="900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9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9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9" outlineLevel="1" x14ac:dyDescent="0.25">
      <c r="A22" s="19">
        <v>1</v>
      </c>
      <c r="B22" s="124"/>
      <c r="C22" s="132"/>
      <c r="D22" s="44">
        <f>D6</f>
        <v>125</v>
      </c>
      <c r="E22" s="43"/>
      <c r="F22" s="43">
        <v>1</v>
      </c>
      <c r="G22" s="121"/>
      <c r="H22" s="121">
        <f>ROUND((E22*G22/F22),2)</f>
        <v>0</v>
      </c>
      <c r="I22" s="1118"/>
    </row>
    <row r="23" spans="1:9" ht="15" customHeight="1" x14ac:dyDescent="0.25">
      <c r="A23" s="1120" t="s">
        <v>17</v>
      </c>
      <c r="B23" s="1121"/>
      <c r="C23" s="1121"/>
      <c r="D23" s="1121"/>
      <c r="E23" s="1121"/>
      <c r="F23" s="1121"/>
      <c r="G23" s="1122"/>
      <c r="H23" s="122">
        <f>SUM(H22:H22)</f>
        <v>0</v>
      </c>
      <c r="I23" s="1119"/>
    </row>
    <row r="24" spans="1:9" x14ac:dyDescent="0.25">
      <c r="A24" s="1127" t="s">
        <v>18</v>
      </c>
      <c r="B24" s="1128"/>
      <c r="C24" s="1128"/>
      <c r="D24" s="1128"/>
      <c r="E24" s="1128"/>
      <c r="F24" s="1128"/>
      <c r="G24" s="1129"/>
      <c r="H24" s="498">
        <f>H23+H18+H7</f>
        <v>8498.9568800000015</v>
      </c>
      <c r="I24" s="43"/>
    </row>
  </sheetData>
  <mergeCells count="9">
    <mergeCell ref="I22:I23"/>
    <mergeCell ref="A23:G23"/>
    <mergeCell ref="A24:G24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E6" sqref="E6:K6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4" t="s">
        <v>1387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63.75" x14ac:dyDescent="0.25">
      <c r="A6" s="130" t="str">
        <f>'Свод РЦВК 2020'!D36</f>
        <v>Организация делопроизводства, комплектование, хранение, учет и использование архивных документов государственного органа</v>
      </c>
      <c r="B6" s="133">
        <f>№31!H7</f>
        <v>8498.9568800000015</v>
      </c>
      <c r="C6" s="133">
        <f>№31!H18</f>
        <v>0</v>
      </c>
      <c r="D6" s="133">
        <f>№31!H23</f>
        <v>0</v>
      </c>
      <c r="E6" s="275"/>
      <c r="F6" s="275"/>
      <c r="G6" s="275"/>
      <c r="H6" s="275"/>
      <c r="I6" s="275"/>
      <c r="J6" s="275"/>
      <c r="K6" s="275"/>
      <c r="L6" s="133">
        <f>SUM(B6:K6)</f>
        <v>8498.9568800000015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M2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" sqref="L1:L1048576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bestFit="1" customWidth="1"/>
  </cols>
  <sheetData>
    <row r="1" spans="1:13" x14ac:dyDescent="0.25">
      <c r="A1" s="1143" t="s">
        <v>1410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3" ht="6" customHeight="1" x14ac:dyDescent="0.25"/>
    <row r="3" spans="1:13" ht="15" customHeight="1" x14ac:dyDescent="0.25">
      <c r="A3" s="1158" t="s">
        <v>0</v>
      </c>
      <c r="B3" s="1158" t="s">
        <v>62</v>
      </c>
      <c r="C3" s="1158" t="s">
        <v>1419</v>
      </c>
      <c r="D3" s="1158" t="s">
        <v>1430</v>
      </c>
      <c r="E3" s="1158"/>
      <c r="F3" s="1158"/>
      <c r="G3" s="1158"/>
      <c r="H3" s="1156" t="s">
        <v>1436</v>
      </c>
      <c r="I3" s="1158" t="s">
        <v>1428</v>
      </c>
      <c r="J3" s="1158" t="s">
        <v>3</v>
      </c>
      <c r="K3" s="1145" t="s">
        <v>4</v>
      </c>
    </row>
    <row r="4" spans="1:13" x14ac:dyDescent="0.25">
      <c r="A4" s="1158"/>
      <c r="B4" s="1158"/>
      <c r="C4" s="1158"/>
      <c r="D4" s="1157" t="s">
        <v>944</v>
      </c>
      <c r="E4" s="1158" t="s">
        <v>1420</v>
      </c>
      <c r="F4" s="1158"/>
      <c r="G4" s="1158"/>
      <c r="H4" s="1156"/>
      <c r="I4" s="1158"/>
      <c r="J4" s="1158"/>
      <c r="K4" s="1145"/>
    </row>
    <row r="5" spans="1:13" ht="38.25" x14ac:dyDescent="0.25">
      <c r="A5" s="1158"/>
      <c r="B5" s="1158"/>
      <c r="C5" s="1158"/>
      <c r="D5" s="1157"/>
      <c r="E5" s="967" t="s">
        <v>1421</v>
      </c>
      <c r="F5" s="967" t="s">
        <v>1422</v>
      </c>
      <c r="G5" s="967" t="s">
        <v>1423</v>
      </c>
      <c r="H5" s="1156"/>
      <c r="I5" s="1158"/>
      <c r="J5" s="1158"/>
      <c r="K5" s="1145"/>
    </row>
    <row r="6" spans="1:13" s="961" customFormat="1" ht="11.25" x14ac:dyDescent="0.2">
      <c r="A6" s="957">
        <v>1</v>
      </c>
      <c r="B6" s="957">
        <v>2</v>
      </c>
      <c r="C6" s="957">
        <v>3</v>
      </c>
      <c r="D6" s="957" t="s">
        <v>1433</v>
      </c>
      <c r="E6" s="957">
        <v>5</v>
      </c>
      <c r="F6" s="957">
        <v>6</v>
      </c>
      <c r="G6" s="957">
        <v>7</v>
      </c>
      <c r="H6" s="957" t="s">
        <v>1432</v>
      </c>
      <c r="I6" s="957">
        <v>9</v>
      </c>
      <c r="J6" s="957" t="s">
        <v>1434</v>
      </c>
      <c r="K6" s="957">
        <v>11</v>
      </c>
    </row>
    <row r="7" spans="1:13" ht="51" outlineLevel="1" x14ac:dyDescent="0.25">
      <c r="A7" s="958">
        <v>1</v>
      </c>
      <c r="B7" s="959" t="s">
        <v>1424</v>
      </c>
      <c r="C7" s="1168">
        <v>2</v>
      </c>
      <c r="D7" s="960">
        <f>E7+F7+G7</f>
        <v>33998.003333333334</v>
      </c>
      <c r="E7" s="960">
        <v>9763</v>
      </c>
      <c r="F7" s="960">
        <v>11438.57</v>
      </c>
      <c r="G7" s="960">
        <v>12796.433333333332</v>
      </c>
      <c r="H7" s="960">
        <f>C7*D7*12</f>
        <v>815952.08000000007</v>
      </c>
      <c r="I7" s="962">
        <f>'Свод РЦВК 2020'!I36</f>
        <v>125</v>
      </c>
      <c r="J7" s="960">
        <f>H7/I7</f>
        <v>6527.6166400000002</v>
      </c>
      <c r="K7" s="1173" t="s">
        <v>1442</v>
      </c>
    </row>
    <row r="8" spans="1:13" ht="63.75" outlineLevel="1" x14ac:dyDescent="0.25">
      <c r="A8" s="958">
        <v>2</v>
      </c>
      <c r="B8" s="959" t="s">
        <v>1427</v>
      </c>
      <c r="C8" s="1169"/>
      <c r="D8" s="960">
        <f t="shared" ref="D8" si="0">E8+F8+G8</f>
        <v>10267.397006666666</v>
      </c>
      <c r="E8" s="960">
        <f>E7*30.2%</f>
        <v>2948.4259999999999</v>
      </c>
      <c r="F8" s="960">
        <f t="shared" ref="F8:G8" si="1">F7*30.2%</f>
        <v>3454.44814</v>
      </c>
      <c r="G8" s="960">
        <f t="shared" si="1"/>
        <v>3864.5228666666662</v>
      </c>
      <c r="H8" s="960">
        <f>C7*D8*12</f>
        <v>246417.52815999999</v>
      </c>
      <c r="I8" s="481">
        <f>$I$7</f>
        <v>125</v>
      </c>
      <c r="J8" s="960">
        <f>H8/I8</f>
        <v>1971.3402252799999</v>
      </c>
      <c r="K8" s="1174"/>
    </row>
    <row r="9" spans="1:13" x14ac:dyDescent="0.25">
      <c r="A9" s="1098" t="s">
        <v>8</v>
      </c>
      <c r="B9" s="1098"/>
      <c r="C9" s="1098"/>
      <c r="D9" s="1098"/>
      <c r="E9" s="1098"/>
      <c r="F9" s="1098"/>
      <c r="G9" s="1098"/>
      <c r="H9" s="964">
        <f>H7+H8</f>
        <v>1062369.6081600001</v>
      </c>
      <c r="I9" s="964">
        <f>I7</f>
        <v>125</v>
      </c>
      <c r="J9" s="964">
        <f t="shared" ref="J9" si="2">J7+J8</f>
        <v>8498.9568652800008</v>
      </c>
      <c r="K9" s="963"/>
      <c r="L9" s="499">
        <f>№31!J7-'№31 раб.'!H9</f>
        <v>1.8400000408291817E-3</v>
      </c>
    </row>
    <row r="10" spans="1:13" x14ac:dyDescent="0.25">
      <c r="A10" s="1146" t="s">
        <v>1425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8"/>
    </row>
    <row r="11" spans="1:13" ht="63.75" x14ac:dyDescent="0.25">
      <c r="A11" s="966" t="s">
        <v>0</v>
      </c>
      <c r="B11" s="1153" t="s">
        <v>1431</v>
      </c>
      <c r="C11" s="1154"/>
      <c r="D11" s="1155"/>
      <c r="E11" s="1149" t="s">
        <v>1429</v>
      </c>
      <c r="F11" s="1150"/>
      <c r="G11" s="477" t="s">
        <v>939</v>
      </c>
      <c r="H11" s="476" t="s">
        <v>1436</v>
      </c>
      <c r="I11" s="476" t="s">
        <v>1428</v>
      </c>
      <c r="J11" s="477" t="s">
        <v>3</v>
      </c>
      <c r="K11" s="477" t="s">
        <v>4</v>
      </c>
    </row>
    <row r="12" spans="1:13" s="961" customFormat="1" ht="11.25" collapsed="1" x14ac:dyDescent="0.2">
      <c r="A12" s="957">
        <v>1</v>
      </c>
      <c r="B12" s="1170">
        <v>2</v>
      </c>
      <c r="C12" s="1171"/>
      <c r="D12" s="1172"/>
      <c r="E12" s="1170">
        <v>3</v>
      </c>
      <c r="F12" s="1172"/>
      <c r="G12" s="957">
        <v>4</v>
      </c>
      <c r="H12" s="957">
        <v>5</v>
      </c>
      <c r="I12" s="957">
        <v>6</v>
      </c>
      <c r="J12" s="957">
        <v>7</v>
      </c>
      <c r="K12" s="957">
        <v>8</v>
      </c>
      <c r="L12" s="1166"/>
      <c r="M12" s="1167"/>
    </row>
    <row r="13" spans="1:13" hidden="1" outlineLevel="1" x14ac:dyDescent="0.25">
      <c r="A13" s="958">
        <v>1</v>
      </c>
      <c r="B13" s="1159"/>
      <c r="C13" s="1160"/>
      <c r="D13" s="1161"/>
      <c r="E13" s="1162"/>
      <c r="F13" s="1163"/>
      <c r="G13" s="960"/>
      <c r="H13" s="960"/>
      <c r="I13" s="481">
        <f>$I$7</f>
        <v>125</v>
      </c>
      <c r="J13" s="960">
        <f>H13/I13</f>
        <v>0</v>
      </c>
      <c r="K13" s="969"/>
      <c r="L13" s="165"/>
      <c r="M13" s="165"/>
    </row>
    <row r="14" spans="1:13" hidden="1" outlineLevel="1" x14ac:dyDescent="0.25">
      <c r="A14" s="958">
        <v>2</v>
      </c>
      <c r="B14" s="1159"/>
      <c r="C14" s="1160"/>
      <c r="D14" s="1161"/>
      <c r="E14" s="1162"/>
      <c r="F14" s="1163"/>
      <c r="G14" s="960"/>
      <c r="H14" s="960"/>
      <c r="I14" s="481">
        <f t="shared" ref="I14:I21" si="3">$I$7</f>
        <v>125</v>
      </c>
      <c r="J14" s="960">
        <f t="shared" ref="J14:J21" si="4">H14/I14</f>
        <v>0</v>
      </c>
      <c r="K14" s="969"/>
      <c r="L14" s="165"/>
      <c r="M14" s="165"/>
    </row>
    <row r="15" spans="1:13" hidden="1" outlineLevel="1" x14ac:dyDescent="0.25">
      <c r="A15" s="958">
        <v>3</v>
      </c>
      <c r="B15" s="1159"/>
      <c r="C15" s="1160"/>
      <c r="D15" s="1161"/>
      <c r="E15" s="1162"/>
      <c r="F15" s="1163"/>
      <c r="G15" s="960"/>
      <c r="H15" s="960"/>
      <c r="I15" s="481">
        <f t="shared" si="3"/>
        <v>125</v>
      </c>
      <c r="J15" s="960">
        <f t="shared" si="4"/>
        <v>0</v>
      </c>
      <c r="K15" s="969"/>
      <c r="L15" s="165"/>
      <c r="M15" s="165"/>
    </row>
    <row r="16" spans="1:13" hidden="1" outlineLevel="1" x14ac:dyDescent="0.25">
      <c r="A16" s="958">
        <v>4</v>
      </c>
      <c r="B16" s="1159"/>
      <c r="C16" s="1160"/>
      <c r="D16" s="1161"/>
      <c r="E16" s="1164"/>
      <c r="F16" s="1165"/>
      <c r="G16" s="960"/>
      <c r="H16" s="960"/>
      <c r="I16" s="481">
        <f t="shared" si="3"/>
        <v>125</v>
      </c>
      <c r="J16" s="960">
        <f t="shared" si="4"/>
        <v>0</v>
      </c>
      <c r="K16" s="969"/>
      <c r="L16" s="165"/>
      <c r="M16" s="165"/>
    </row>
    <row r="17" spans="1:13" ht="30" hidden="1" customHeight="1" outlineLevel="1" x14ac:dyDescent="0.25">
      <c r="A17" s="958">
        <v>5</v>
      </c>
      <c r="B17" s="1159"/>
      <c r="C17" s="1160"/>
      <c r="D17" s="1161"/>
      <c r="E17" s="1162"/>
      <c r="F17" s="1163"/>
      <c r="G17" s="971"/>
      <c r="H17" s="960"/>
      <c r="I17" s="481">
        <f t="shared" si="3"/>
        <v>125</v>
      </c>
      <c r="J17" s="960">
        <f t="shared" si="4"/>
        <v>0</v>
      </c>
      <c r="K17" s="969"/>
      <c r="L17" s="165"/>
      <c r="M17" s="165"/>
    </row>
    <row r="18" spans="1:13" hidden="1" outlineLevel="1" x14ac:dyDescent="0.25">
      <c r="A18" s="958">
        <v>6</v>
      </c>
      <c r="B18" s="1159"/>
      <c r="C18" s="1160"/>
      <c r="D18" s="1161"/>
      <c r="E18" s="1162"/>
      <c r="F18" s="1163"/>
      <c r="G18" s="960"/>
      <c r="H18" s="960"/>
      <c r="I18" s="481">
        <f t="shared" si="3"/>
        <v>125</v>
      </c>
      <c r="J18" s="960">
        <f t="shared" si="4"/>
        <v>0</v>
      </c>
      <c r="K18" s="969"/>
      <c r="L18" s="165"/>
      <c r="M18" s="165"/>
    </row>
    <row r="19" spans="1:13" hidden="1" outlineLevel="1" x14ac:dyDescent="0.25">
      <c r="A19" s="958">
        <v>7</v>
      </c>
      <c r="B19" s="1159"/>
      <c r="C19" s="1160"/>
      <c r="D19" s="1161"/>
      <c r="E19" s="1162"/>
      <c r="F19" s="1163"/>
      <c r="G19" s="960"/>
      <c r="H19" s="960"/>
      <c r="I19" s="481">
        <f t="shared" si="3"/>
        <v>125</v>
      </c>
      <c r="J19" s="960">
        <f t="shared" si="4"/>
        <v>0</v>
      </c>
      <c r="K19" s="969"/>
      <c r="L19" s="165"/>
      <c r="M19" s="165"/>
    </row>
    <row r="20" spans="1:13" hidden="1" outlineLevel="1" x14ac:dyDescent="0.25">
      <c r="A20" s="958">
        <v>8</v>
      </c>
      <c r="B20" s="1159"/>
      <c r="C20" s="1160"/>
      <c r="D20" s="1161"/>
      <c r="E20" s="1162"/>
      <c r="F20" s="1163"/>
      <c r="G20" s="971"/>
      <c r="H20" s="960"/>
      <c r="I20" s="481">
        <f t="shared" si="3"/>
        <v>125</v>
      </c>
      <c r="J20" s="960">
        <f t="shared" si="4"/>
        <v>0</v>
      </c>
      <c r="K20" s="969"/>
      <c r="L20" s="165"/>
      <c r="M20" s="165"/>
    </row>
    <row r="21" spans="1:13" hidden="1" outlineLevel="1" x14ac:dyDescent="0.25">
      <c r="A21" s="958">
        <v>9</v>
      </c>
      <c r="B21" s="1159"/>
      <c r="C21" s="1160"/>
      <c r="D21" s="1161"/>
      <c r="E21" s="1162"/>
      <c r="F21" s="1163"/>
      <c r="G21" s="960"/>
      <c r="H21" s="960"/>
      <c r="I21" s="481">
        <f t="shared" si="3"/>
        <v>125</v>
      </c>
      <c r="J21" s="960">
        <f t="shared" si="4"/>
        <v>0</v>
      </c>
      <c r="K21" s="969"/>
      <c r="L21" s="165"/>
      <c r="M21" s="165"/>
    </row>
    <row r="22" spans="1:13" x14ac:dyDescent="0.25">
      <c r="A22" s="1098" t="s">
        <v>1435</v>
      </c>
      <c r="B22" s="1098"/>
      <c r="C22" s="1098"/>
      <c r="D22" s="1098"/>
      <c r="E22" s="1098"/>
      <c r="F22" s="1098"/>
      <c r="G22" s="1098"/>
      <c r="H22" s="964">
        <f>SUM(H13:H21)</f>
        <v>0</v>
      </c>
      <c r="I22" s="964">
        <f>I7</f>
        <v>125</v>
      </c>
      <c r="J22" s="964">
        <f>SUM(J13:J21)</f>
        <v>0</v>
      </c>
      <c r="K22" s="970"/>
    </row>
    <row r="23" spans="1:13" x14ac:dyDescent="0.25">
      <c r="A23" s="1151" t="s">
        <v>1426</v>
      </c>
      <c r="B23" s="1152"/>
      <c r="C23" s="1152"/>
      <c r="D23" s="1152"/>
      <c r="E23" s="1152"/>
      <c r="F23" s="1152"/>
      <c r="G23" s="1152"/>
      <c r="H23" s="968">
        <f>H22+H9</f>
        <v>1062369.6081600001</v>
      </c>
      <c r="I23" s="965">
        <f>I7</f>
        <v>125</v>
      </c>
      <c r="J23" s="965">
        <f>J22+J9</f>
        <v>8498.9568652800008</v>
      </c>
      <c r="K23" s="970"/>
      <c r="L23" s="499">
        <f>J23-№31!H24</f>
        <v>-1.472000076319091E-5</v>
      </c>
    </row>
  </sheetData>
  <mergeCells count="40">
    <mergeCell ref="A23:G23"/>
    <mergeCell ref="B18:D18"/>
    <mergeCell ref="E18:F18"/>
    <mergeCell ref="B19:D19"/>
    <mergeCell ref="E19:F19"/>
    <mergeCell ref="B20:D20"/>
    <mergeCell ref="E20:F20"/>
    <mergeCell ref="B17:D17"/>
    <mergeCell ref="E17:F17"/>
    <mergeCell ref="B21:D21"/>
    <mergeCell ref="E21:F21"/>
    <mergeCell ref="A22:G22"/>
    <mergeCell ref="B15:D15"/>
    <mergeCell ref="E15:F15"/>
    <mergeCell ref="B14:D14"/>
    <mergeCell ref="E14:F14"/>
    <mergeCell ref="B16:D16"/>
    <mergeCell ref="E16:F16"/>
    <mergeCell ref="K7:K8"/>
    <mergeCell ref="A9:G9"/>
    <mergeCell ref="A10:K10"/>
    <mergeCell ref="L12:M12"/>
    <mergeCell ref="B13:D13"/>
    <mergeCell ref="E13:F13"/>
    <mergeCell ref="B11:D11"/>
    <mergeCell ref="E11:F11"/>
    <mergeCell ref="B12:D12"/>
    <mergeCell ref="E12:F12"/>
    <mergeCell ref="C7:C8"/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colBreaks count="1" manualBreakCount="1">
    <brk id="11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outlinePr summaryBelow="0"/>
  </sheetPr>
  <dimension ref="A1:L55"/>
  <sheetViews>
    <sheetView zoomScaleNormal="100" workbookViewId="0">
      <pane xSplit="2" ySplit="4" topLeftCell="C5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8.85546875" defaultRowHeight="15" outlineLevelRow="1" x14ac:dyDescent="0.25"/>
  <cols>
    <col min="1" max="1" width="7.28515625" style="60" customWidth="1"/>
    <col min="2" max="2" width="29.5703125" style="60" customWidth="1"/>
    <col min="3" max="3" width="17" style="60" customWidth="1"/>
    <col min="4" max="4" width="14.7109375" style="60" customWidth="1"/>
    <col min="5" max="5" width="15.140625" style="60" customWidth="1"/>
    <col min="6" max="6" width="17.28515625" style="60" customWidth="1"/>
    <col min="7" max="7" width="19.5703125" style="60" customWidth="1"/>
    <col min="8" max="8" width="11.5703125" style="60" customWidth="1"/>
    <col min="9" max="9" width="49.28515625" style="60" customWidth="1"/>
    <col min="10" max="10" width="15.42578125" style="60" hidden="1" customWidth="1"/>
    <col min="11" max="11" width="11.5703125" style="60" hidden="1" customWidth="1"/>
    <col min="12" max="12" width="0" style="60" hidden="1" customWidth="1"/>
    <col min="13" max="16384" width="8.85546875" style="60"/>
  </cols>
  <sheetData>
    <row r="1" spans="1:12" x14ac:dyDescent="0.25">
      <c r="A1" s="1143" t="s">
        <v>1409</v>
      </c>
      <c r="B1" s="1143"/>
      <c r="C1" s="1143"/>
      <c r="D1" s="1143"/>
      <c r="E1" s="1143"/>
      <c r="F1" s="1143"/>
      <c r="G1" s="1143"/>
      <c r="H1" s="1143"/>
      <c r="I1" s="1143"/>
    </row>
    <row r="2" spans="1:12" ht="6" customHeight="1" x14ac:dyDescent="0.25"/>
    <row r="3" spans="1:12" ht="89.25" x14ac:dyDescent="0.25">
      <c r="A3" s="136" t="s">
        <v>339</v>
      </c>
      <c r="B3" s="141" t="s">
        <v>1</v>
      </c>
      <c r="C3" s="136" t="s">
        <v>344</v>
      </c>
      <c r="D3" s="141" t="s">
        <v>123</v>
      </c>
      <c r="E3" s="136" t="s">
        <v>2</v>
      </c>
      <c r="F3" s="136" t="s">
        <v>345</v>
      </c>
      <c r="G3" s="141" t="s">
        <v>346</v>
      </c>
      <c r="H3" s="141" t="s">
        <v>347</v>
      </c>
      <c r="I3" s="141" t="s">
        <v>4</v>
      </c>
    </row>
    <row r="4" spans="1:12" s="123" customFormat="1" ht="11.25" x14ac:dyDescent="0.25">
      <c r="A4" s="8">
        <v>1</v>
      </c>
      <c r="B4" s="8">
        <v>2</v>
      </c>
      <c r="C4" s="8">
        <v>3</v>
      </c>
      <c r="D4" s="8">
        <v>4</v>
      </c>
      <c r="E4" s="8" t="s">
        <v>158</v>
      </c>
      <c r="F4" s="8"/>
      <c r="G4" s="8">
        <v>6</v>
      </c>
      <c r="H4" s="8" t="s">
        <v>6</v>
      </c>
      <c r="I4" s="8">
        <v>8</v>
      </c>
    </row>
    <row r="5" spans="1:12" x14ac:dyDescent="0.25">
      <c r="A5" s="470" t="s">
        <v>7</v>
      </c>
      <c r="B5" s="471"/>
      <c r="C5" s="471"/>
      <c r="D5" s="471"/>
      <c r="E5" s="471"/>
      <c r="F5" s="471"/>
      <c r="G5" s="471"/>
      <c r="H5" s="471"/>
      <c r="I5" s="472"/>
    </row>
    <row r="6" spans="1:12" ht="87" outlineLevel="1" x14ac:dyDescent="0.25">
      <c r="A6" s="20" t="s">
        <v>129</v>
      </c>
      <c r="B6" s="147" t="s">
        <v>157</v>
      </c>
      <c r="C6" s="875">
        <f>E6/D6</f>
        <v>10.536137246411043</v>
      </c>
      <c r="D6" s="506">
        <f>'Свод РЦВК 2020'!I37</f>
        <v>26</v>
      </c>
      <c r="E6" s="905">
        <f>K8/G6</f>
        <v>273.9395684066871</v>
      </c>
      <c r="F6" s="875">
        <f>J7/1000</f>
        <v>2505.1006499999999</v>
      </c>
      <c r="G6" s="875">
        <f>ROUND(L7,2)</f>
        <v>351.72</v>
      </c>
      <c r="H6" s="512">
        <f>E6*G6</f>
        <v>96350.024999999994</v>
      </c>
      <c r="I6" s="151" t="s">
        <v>1400</v>
      </c>
      <c r="J6" s="946" t="s">
        <v>1401</v>
      </c>
    </row>
    <row r="7" spans="1:12" x14ac:dyDescent="0.25">
      <c r="A7" s="1006" t="s">
        <v>8</v>
      </c>
      <c r="B7" s="1007"/>
      <c r="C7" s="1007"/>
      <c r="D7" s="1007"/>
      <c r="E7" s="1007"/>
      <c r="F7" s="1007"/>
      <c r="G7" s="1123"/>
      <c r="H7" s="56">
        <f>SUM(H6:H6)</f>
        <v>96350.024999999994</v>
      </c>
      <c r="I7" s="447"/>
      <c r="J7" s="59">
        <f>ROUND(37230.33*3*12*1.302,2)+ROUND(44939.38*12*1.302,2)+ROUND(11932*1.302,2)+ROUND(10848*3*1.302,2)</f>
        <v>2505100.65</v>
      </c>
      <c r="K7" s="59">
        <f>1780.6*4</f>
        <v>7122.4</v>
      </c>
      <c r="L7" s="59">
        <f>J7/K7</f>
        <v>351.72142115017408</v>
      </c>
    </row>
    <row r="8" spans="1:12" s="123" customFormat="1" ht="67.5" x14ac:dyDescent="0.25">
      <c r="A8" s="141" t="s">
        <v>0</v>
      </c>
      <c r="B8" s="141" t="s">
        <v>9</v>
      </c>
      <c r="C8" s="153" t="s">
        <v>1278</v>
      </c>
      <c r="D8" s="141" t="s">
        <v>123</v>
      </c>
      <c r="E8" s="141" t="s">
        <v>10</v>
      </c>
      <c r="F8" s="141" t="s">
        <v>11</v>
      </c>
      <c r="G8" s="141" t="s">
        <v>939</v>
      </c>
      <c r="H8" s="141" t="s">
        <v>347</v>
      </c>
      <c r="I8" s="141" t="s">
        <v>4</v>
      </c>
      <c r="J8" s="59">
        <f>J7+№31!J7+№30!J7</f>
        <v>4759091.8</v>
      </c>
      <c r="K8" s="59">
        <f>J7/D6</f>
        <v>96350.024999999994</v>
      </c>
    </row>
    <row r="9" spans="1:12" s="123" customFormat="1" ht="11.25" x14ac:dyDescent="0.25">
      <c r="A9" s="8">
        <v>1</v>
      </c>
      <c r="B9" s="8">
        <v>2</v>
      </c>
      <c r="C9" s="8">
        <v>3</v>
      </c>
      <c r="D9" s="8">
        <v>4</v>
      </c>
      <c r="E9" s="8" t="s">
        <v>5</v>
      </c>
      <c r="F9" s="8">
        <v>6</v>
      </c>
      <c r="G9" s="8">
        <v>7</v>
      </c>
      <c r="H9" s="8" t="s">
        <v>12</v>
      </c>
      <c r="I9" s="8">
        <v>9</v>
      </c>
    </row>
    <row r="10" spans="1:12" x14ac:dyDescent="0.25">
      <c r="A10" s="1082" t="s">
        <v>13</v>
      </c>
      <c r="B10" s="1082"/>
      <c r="C10" s="1082"/>
      <c r="D10" s="1082"/>
      <c r="E10" s="1082"/>
      <c r="F10" s="1082"/>
      <c r="G10" s="1082"/>
      <c r="H10" s="1082"/>
      <c r="I10" s="1082"/>
      <c r="J10" s="59">
        <f>J8-J11</f>
        <v>-4.2550405487418175E-3</v>
      </c>
    </row>
    <row r="11" spans="1:12" ht="15" customHeight="1" outlineLevel="1" x14ac:dyDescent="0.25">
      <c r="A11" s="19">
        <v>1</v>
      </c>
      <c r="B11" s="147"/>
      <c r="C11" s="148"/>
      <c r="D11" s="556">
        <f>№8!D11</f>
        <v>265212.859</v>
      </c>
      <c r="E11" s="43">
        <f>C11/D11</f>
        <v>0</v>
      </c>
      <c r="F11" s="43">
        <v>1</v>
      </c>
      <c r="G11" s="148">
        <f>SUMIF('МЗ РЦВК'!$B$5:$B$45,$B11,'МЗ РЦВК'!$C$5:$C$45)</f>
        <v>0</v>
      </c>
      <c r="H11" s="121">
        <f>E11*G11/F11</f>
        <v>0</v>
      </c>
      <c r="I11" s="1095" t="s">
        <v>348</v>
      </c>
      <c r="J11" s="59">
        <v>4759091.8042550404</v>
      </c>
    </row>
    <row r="12" spans="1:12" hidden="1" outlineLevel="1" x14ac:dyDescent="0.25">
      <c r="A12" s="19">
        <v>2</v>
      </c>
      <c r="B12" s="147"/>
      <c r="C12" s="148"/>
      <c r="D12" s="557">
        <f t="shared" ref="D12:D17" si="0">$D$11</f>
        <v>265212.859</v>
      </c>
      <c r="E12" s="43">
        <f t="shared" ref="E12:E15" si="1">C12/D12</f>
        <v>0</v>
      </c>
      <c r="F12" s="43">
        <v>1</v>
      </c>
      <c r="G12" s="148">
        <f>SUMIF('МЗ РЦВК'!$B$5:$B$45,$B12,'МЗ РЦВК'!$C$5:$C$45)</f>
        <v>0</v>
      </c>
      <c r="H12" s="121">
        <f t="shared" ref="H12:H17" si="2">E12*G12/F12</f>
        <v>0</v>
      </c>
      <c r="I12" s="1095"/>
    </row>
    <row r="13" spans="1:12" hidden="1" outlineLevel="1" x14ac:dyDescent="0.25">
      <c r="A13" s="19">
        <v>3</v>
      </c>
      <c r="B13" s="147"/>
      <c r="C13" s="148"/>
      <c r="D13" s="557">
        <f t="shared" si="0"/>
        <v>265212.859</v>
      </c>
      <c r="E13" s="43">
        <f t="shared" si="1"/>
        <v>0</v>
      </c>
      <c r="F13" s="43">
        <v>1</v>
      </c>
      <c r="G13" s="148">
        <f>SUMIF('МЗ РЦВК'!$B$5:$B$45,$B13,'МЗ РЦВК'!$C$5:$C$45)</f>
        <v>0</v>
      </c>
      <c r="H13" s="121">
        <f t="shared" si="2"/>
        <v>0</v>
      </c>
      <c r="I13" s="1095"/>
    </row>
    <row r="14" spans="1:12" ht="27.75" hidden="1" customHeight="1" outlineLevel="1" x14ac:dyDescent="0.25">
      <c r="A14" s="19">
        <v>4</v>
      </c>
      <c r="B14" s="147"/>
      <c r="C14" s="148"/>
      <c r="D14" s="557">
        <f t="shared" si="0"/>
        <v>265212.859</v>
      </c>
      <c r="E14" s="625">
        <f t="shared" si="1"/>
        <v>0</v>
      </c>
      <c r="F14" s="43">
        <v>1</v>
      </c>
      <c r="G14" s="148">
        <f>SUMIF('МЗ РЦВК'!$B$5:$B$45,$B14,'МЗ РЦВК'!$C$5:$C$45)</f>
        <v>0</v>
      </c>
      <c r="H14" s="121">
        <f t="shared" si="2"/>
        <v>0</v>
      </c>
      <c r="I14" s="1095"/>
    </row>
    <row r="15" spans="1:12" ht="15" hidden="1" customHeight="1" outlineLevel="1" x14ac:dyDescent="0.25">
      <c r="A15" s="19">
        <v>5</v>
      </c>
      <c r="B15" s="147"/>
      <c r="C15" s="148"/>
      <c r="D15" s="557">
        <f t="shared" si="0"/>
        <v>265212.859</v>
      </c>
      <c r="E15" s="43">
        <f t="shared" si="1"/>
        <v>0</v>
      </c>
      <c r="F15" s="43">
        <v>1</v>
      </c>
      <c r="G15" s="148">
        <f>SUMIF('МЗ РЦВК'!$B$5:$B$45,$B15,'МЗ РЦВК'!$C$5:$C$45)</f>
        <v>0</v>
      </c>
      <c r="H15" s="121">
        <f t="shared" si="2"/>
        <v>0</v>
      </c>
      <c r="I15" s="1095"/>
    </row>
    <row r="16" spans="1:12" hidden="1" outlineLevel="1" x14ac:dyDescent="0.25">
      <c r="A16" s="19">
        <v>6</v>
      </c>
      <c r="B16" s="147"/>
      <c r="C16" s="148"/>
      <c r="D16" s="557">
        <f t="shared" si="0"/>
        <v>265212.859</v>
      </c>
      <c r="E16" s="43">
        <f>C16/D16</f>
        <v>0</v>
      </c>
      <c r="F16" s="43">
        <v>1</v>
      </c>
      <c r="G16" s="148">
        <f>SUMIF('МЗ РЦВК'!$B$5:$B$45,$B16,'МЗ РЦВК'!$C$5:$C$45)</f>
        <v>0</v>
      </c>
      <c r="H16" s="121">
        <f t="shared" si="2"/>
        <v>0</v>
      </c>
      <c r="I16" s="1095"/>
    </row>
    <row r="17" spans="1:10" hidden="1" outlineLevel="1" x14ac:dyDescent="0.25">
      <c r="A17" s="19">
        <v>7</v>
      </c>
      <c r="B17" s="147"/>
      <c r="C17" s="148"/>
      <c r="D17" s="557">
        <f t="shared" si="0"/>
        <v>265212.859</v>
      </c>
      <c r="E17" s="43">
        <f>C17/D17</f>
        <v>0</v>
      </c>
      <c r="F17" s="43">
        <v>1</v>
      </c>
      <c r="G17" s="148">
        <f>SUMIF('МЗ РЦВК'!$B$5:$B$45,$B17,'МЗ РЦВК'!$C$5:$C$45)</f>
        <v>0</v>
      </c>
      <c r="H17" s="121">
        <f t="shared" si="2"/>
        <v>0</v>
      </c>
      <c r="I17" s="1095"/>
    </row>
    <row r="18" spans="1:10" x14ac:dyDescent="0.25">
      <c r="A18" s="1120" t="s">
        <v>14</v>
      </c>
      <c r="B18" s="1121"/>
      <c r="C18" s="1121"/>
      <c r="D18" s="1121"/>
      <c r="E18" s="1121"/>
      <c r="F18" s="1121"/>
      <c r="G18" s="1122"/>
      <c r="H18" s="122">
        <f>ROUND(SUM(H11:H17),2)</f>
        <v>0</v>
      </c>
      <c r="I18" s="1095"/>
    </row>
    <row r="19" spans="1:10" s="123" customFormat="1" ht="67.5" x14ac:dyDescent="0.25">
      <c r="A19" s="141" t="s">
        <v>0</v>
      </c>
      <c r="B19" s="141" t="s">
        <v>9</v>
      </c>
      <c r="C19" s="900" t="s">
        <v>1278</v>
      </c>
      <c r="D19" s="141" t="s">
        <v>123</v>
      </c>
      <c r="E19" s="141" t="s">
        <v>10</v>
      </c>
      <c r="F19" s="141" t="s">
        <v>15</v>
      </c>
      <c r="G19" s="141" t="s">
        <v>939</v>
      </c>
      <c r="H19" s="141" t="s">
        <v>347</v>
      </c>
      <c r="I19" s="141" t="s">
        <v>4</v>
      </c>
    </row>
    <row r="20" spans="1:10" s="123" customFormat="1" ht="11.25" x14ac:dyDescent="0.25">
      <c r="A20" s="8">
        <v>1</v>
      </c>
      <c r="B20" s="8">
        <v>2</v>
      </c>
      <c r="C20" s="8">
        <v>3</v>
      </c>
      <c r="D20" s="8">
        <v>4</v>
      </c>
      <c r="E20" s="8" t="s">
        <v>5</v>
      </c>
      <c r="F20" s="8">
        <v>6</v>
      </c>
      <c r="G20" s="8">
        <v>7</v>
      </c>
      <c r="H20" s="8" t="s">
        <v>12</v>
      </c>
      <c r="I20" s="8">
        <v>9</v>
      </c>
    </row>
    <row r="21" spans="1:10" x14ac:dyDescent="0.25">
      <c r="A21" s="1117" t="s">
        <v>16</v>
      </c>
      <c r="B21" s="1117"/>
      <c r="C21" s="1117"/>
      <c r="D21" s="1117"/>
      <c r="E21" s="1117"/>
      <c r="F21" s="1117"/>
      <c r="G21" s="1117"/>
      <c r="H21" s="1117"/>
      <c r="I21" s="1117"/>
    </row>
    <row r="22" spans="1:10" ht="30" outlineLevel="1" x14ac:dyDescent="0.25">
      <c r="A22" s="485">
        <v>1</v>
      </c>
      <c r="B22" s="494" t="s">
        <v>1321</v>
      </c>
      <c r="C22" s="481">
        <f>D22</f>
        <v>26</v>
      </c>
      <c r="D22" s="481">
        <f>$D$6</f>
        <v>26</v>
      </c>
      <c r="E22" s="486">
        <f>D22/C22</f>
        <v>1</v>
      </c>
      <c r="F22" s="486">
        <v>1</v>
      </c>
      <c r="G22" s="488">
        <f>J22/D22</f>
        <v>163.30769230769232</v>
      </c>
      <c r="H22" s="481">
        <f>E22*G22/F22</f>
        <v>163.30769230769232</v>
      </c>
      <c r="I22" s="1118"/>
      <c r="J22" s="912">
        <v>4246</v>
      </c>
    </row>
    <row r="23" spans="1:10" ht="30" outlineLevel="1" x14ac:dyDescent="0.25">
      <c r="A23" s="485">
        <v>2</v>
      </c>
      <c r="B23" s="494" t="s">
        <v>1322</v>
      </c>
      <c r="C23" s="481">
        <f t="shared" ref="C23:C50" si="3">D23</f>
        <v>26</v>
      </c>
      <c r="D23" s="481">
        <f t="shared" ref="D23:D51" si="4">$D$6</f>
        <v>26</v>
      </c>
      <c r="E23" s="486">
        <f t="shared" ref="E23:E50" si="5">D23/C23</f>
        <v>1</v>
      </c>
      <c r="F23" s="486">
        <v>1</v>
      </c>
      <c r="G23" s="481">
        <f t="shared" ref="G23:G50" si="6">J23/D23</f>
        <v>1769.2307692307693</v>
      </c>
      <c r="H23" s="481">
        <f t="shared" ref="H23:H51" si="7">E23*G23/F23</f>
        <v>1769.2307692307693</v>
      </c>
      <c r="I23" s="1103"/>
      <c r="J23" s="912">
        <v>46000</v>
      </c>
    </row>
    <row r="24" spans="1:10" ht="30" outlineLevel="1" x14ac:dyDescent="0.25">
      <c r="A24" s="485">
        <v>3</v>
      </c>
      <c r="B24" s="494" t="s">
        <v>1323</v>
      </c>
      <c r="C24" s="481">
        <f t="shared" si="3"/>
        <v>26</v>
      </c>
      <c r="D24" s="481">
        <f t="shared" si="4"/>
        <v>26</v>
      </c>
      <c r="E24" s="486">
        <f t="shared" si="5"/>
        <v>1</v>
      </c>
      <c r="F24" s="486">
        <v>1</v>
      </c>
      <c r="G24" s="481">
        <f t="shared" si="6"/>
        <v>7373.0769230769229</v>
      </c>
      <c r="H24" s="481">
        <f t="shared" si="7"/>
        <v>7373.0769230769229</v>
      </c>
      <c r="I24" s="1103"/>
      <c r="J24" s="912">
        <v>191700</v>
      </c>
    </row>
    <row r="25" spans="1:10" ht="30" outlineLevel="1" x14ac:dyDescent="0.25">
      <c r="A25" s="485">
        <v>4</v>
      </c>
      <c r="B25" s="494" t="s">
        <v>1324</v>
      </c>
      <c r="C25" s="481">
        <f t="shared" si="3"/>
        <v>26</v>
      </c>
      <c r="D25" s="481">
        <f t="shared" si="4"/>
        <v>26</v>
      </c>
      <c r="E25" s="486">
        <f t="shared" si="5"/>
        <v>1</v>
      </c>
      <c r="F25" s="486">
        <v>1</v>
      </c>
      <c r="G25" s="481">
        <f t="shared" si="6"/>
        <v>38.46153846153846</v>
      </c>
      <c r="H25" s="481">
        <f t="shared" si="7"/>
        <v>38.46153846153846</v>
      </c>
      <c r="I25" s="1103"/>
      <c r="J25" s="912">
        <v>1000</v>
      </c>
    </row>
    <row r="26" spans="1:10" outlineLevel="1" x14ac:dyDescent="0.25">
      <c r="A26" s="485">
        <v>5</v>
      </c>
      <c r="B26" s="494" t="s">
        <v>1325</v>
      </c>
      <c r="C26" s="481">
        <f t="shared" si="3"/>
        <v>26</v>
      </c>
      <c r="D26" s="481">
        <f t="shared" si="4"/>
        <v>26</v>
      </c>
      <c r="E26" s="486">
        <f t="shared" si="5"/>
        <v>1</v>
      </c>
      <c r="F26" s="486">
        <v>1</v>
      </c>
      <c r="G26" s="481">
        <f t="shared" si="6"/>
        <v>9.615384615384615</v>
      </c>
      <c r="H26" s="481">
        <f t="shared" si="7"/>
        <v>9.615384615384615</v>
      </c>
      <c r="I26" s="1103"/>
      <c r="J26" s="912">
        <v>250</v>
      </c>
    </row>
    <row r="27" spans="1:10" outlineLevel="1" x14ac:dyDescent="0.25">
      <c r="A27" s="485">
        <v>6</v>
      </c>
      <c r="B27" s="494" t="s">
        <v>1326</v>
      </c>
      <c r="C27" s="481">
        <f t="shared" si="3"/>
        <v>26</v>
      </c>
      <c r="D27" s="481">
        <f t="shared" si="4"/>
        <v>26</v>
      </c>
      <c r="E27" s="486">
        <f t="shared" si="5"/>
        <v>1</v>
      </c>
      <c r="F27" s="486">
        <v>1</v>
      </c>
      <c r="G27" s="481">
        <f t="shared" si="6"/>
        <v>934.61538461538464</v>
      </c>
      <c r="H27" s="481">
        <f t="shared" si="7"/>
        <v>934.61538461538464</v>
      </c>
      <c r="I27" s="1103"/>
      <c r="J27" s="912">
        <v>24300</v>
      </c>
    </row>
    <row r="28" spans="1:10" outlineLevel="1" x14ac:dyDescent="0.25">
      <c r="A28" s="485">
        <v>7</v>
      </c>
      <c r="B28" s="494" t="s">
        <v>1356</v>
      </c>
      <c r="C28" s="481">
        <f t="shared" ref="C28" si="8">D28</f>
        <v>26</v>
      </c>
      <c r="D28" s="481">
        <f t="shared" si="4"/>
        <v>26</v>
      </c>
      <c r="E28" s="486">
        <f t="shared" ref="E28" si="9">D28/C28</f>
        <v>1</v>
      </c>
      <c r="F28" s="486">
        <v>1</v>
      </c>
      <c r="G28" s="481">
        <f t="shared" ref="G28" si="10">J28/D28</f>
        <v>209.61538461538461</v>
      </c>
      <c r="H28" s="481">
        <f t="shared" si="7"/>
        <v>209.61538461538461</v>
      </c>
      <c r="I28" s="1103"/>
      <c r="J28" s="912">
        <v>5450</v>
      </c>
    </row>
    <row r="29" spans="1:10" ht="30" outlineLevel="1" x14ac:dyDescent="0.25">
      <c r="A29" s="485">
        <v>8</v>
      </c>
      <c r="B29" s="494" t="s">
        <v>1327</v>
      </c>
      <c r="C29" s="481">
        <f t="shared" si="3"/>
        <v>26</v>
      </c>
      <c r="D29" s="481">
        <f t="shared" si="4"/>
        <v>26</v>
      </c>
      <c r="E29" s="486">
        <f t="shared" si="5"/>
        <v>1</v>
      </c>
      <c r="F29" s="486">
        <v>1</v>
      </c>
      <c r="G29" s="481">
        <f t="shared" si="6"/>
        <v>3444.2307692307691</v>
      </c>
      <c r="H29" s="481">
        <f t="shared" si="7"/>
        <v>3444.2307692307691</v>
      </c>
      <c r="I29" s="1103"/>
      <c r="J29" s="912">
        <f>24200+65350</f>
        <v>89550</v>
      </c>
    </row>
    <row r="30" spans="1:10" ht="60" outlineLevel="1" x14ac:dyDescent="0.25">
      <c r="A30" s="485">
        <v>9</v>
      </c>
      <c r="B30" s="494" t="s">
        <v>1330</v>
      </c>
      <c r="C30" s="481">
        <f t="shared" si="3"/>
        <v>26</v>
      </c>
      <c r="D30" s="481">
        <f t="shared" si="4"/>
        <v>26</v>
      </c>
      <c r="E30" s="486">
        <f t="shared" si="5"/>
        <v>1</v>
      </c>
      <c r="F30" s="486">
        <v>1</v>
      </c>
      <c r="G30" s="481">
        <f t="shared" si="6"/>
        <v>3807.6923076923076</v>
      </c>
      <c r="H30" s="481">
        <f t="shared" si="7"/>
        <v>3807.6923076923076</v>
      </c>
      <c r="I30" s="1103"/>
      <c r="J30" s="912">
        <v>99000</v>
      </c>
    </row>
    <row r="31" spans="1:10" ht="60" outlineLevel="1" x14ac:dyDescent="0.25">
      <c r="A31" s="485">
        <v>10</v>
      </c>
      <c r="B31" s="494" t="s">
        <v>1330</v>
      </c>
      <c r="C31" s="481">
        <f t="shared" si="3"/>
        <v>26</v>
      </c>
      <c r="D31" s="481">
        <f t="shared" si="4"/>
        <v>26</v>
      </c>
      <c r="E31" s="486">
        <f t="shared" si="5"/>
        <v>1</v>
      </c>
      <c r="F31" s="486">
        <v>1</v>
      </c>
      <c r="G31" s="481">
        <f t="shared" si="6"/>
        <v>5423.0769230769229</v>
      </c>
      <c r="H31" s="481">
        <f t="shared" si="7"/>
        <v>5423.0769230769229</v>
      </c>
      <c r="I31" s="1103"/>
      <c r="J31" s="912">
        <v>141000</v>
      </c>
    </row>
    <row r="32" spans="1:10" ht="60" outlineLevel="1" x14ac:dyDescent="0.25">
      <c r="A32" s="485">
        <v>11</v>
      </c>
      <c r="B32" s="494" t="s">
        <v>1330</v>
      </c>
      <c r="C32" s="481">
        <f t="shared" si="3"/>
        <v>26</v>
      </c>
      <c r="D32" s="481">
        <f t="shared" si="4"/>
        <v>26</v>
      </c>
      <c r="E32" s="486">
        <f t="shared" si="5"/>
        <v>1</v>
      </c>
      <c r="F32" s="486">
        <v>1</v>
      </c>
      <c r="G32" s="481">
        <f>J32/D32</f>
        <v>9230.7692307692305</v>
      </c>
      <c r="H32" s="481">
        <f t="shared" si="7"/>
        <v>9230.7692307692305</v>
      </c>
      <c r="I32" s="1103"/>
      <c r="J32" s="912">
        <v>240000</v>
      </c>
    </row>
    <row r="33" spans="1:10" ht="30" outlineLevel="1" x14ac:dyDescent="0.25">
      <c r="A33" s="485">
        <v>12</v>
      </c>
      <c r="B33" s="494" t="s">
        <v>1394</v>
      </c>
      <c r="C33" s="481">
        <f t="shared" ref="C33" si="11">D33</f>
        <v>26</v>
      </c>
      <c r="D33" s="481">
        <f t="shared" si="4"/>
        <v>26</v>
      </c>
      <c r="E33" s="486">
        <f t="shared" ref="E33" si="12">D33/C33</f>
        <v>1</v>
      </c>
      <c r="F33" s="486">
        <v>1</v>
      </c>
      <c r="G33" s="481">
        <f>J33/D33</f>
        <v>3423.0769230769229</v>
      </c>
      <c r="H33" s="481">
        <f t="shared" si="7"/>
        <v>3423.0769230769229</v>
      </c>
      <c r="I33" s="1103"/>
      <c r="J33" s="912">
        <v>89000</v>
      </c>
    </row>
    <row r="34" spans="1:10" ht="45" outlineLevel="1" x14ac:dyDescent="0.25">
      <c r="A34" s="485">
        <v>13</v>
      </c>
      <c r="B34" s="494" t="s">
        <v>1328</v>
      </c>
      <c r="C34" s="481">
        <f t="shared" si="3"/>
        <v>26</v>
      </c>
      <c r="D34" s="481">
        <f t="shared" si="4"/>
        <v>26</v>
      </c>
      <c r="E34" s="486">
        <f t="shared" si="5"/>
        <v>1</v>
      </c>
      <c r="F34" s="486">
        <v>1</v>
      </c>
      <c r="G34" s="481">
        <f>J34/D34</f>
        <v>961.53846153846155</v>
      </c>
      <c r="H34" s="481">
        <f>E34*G34/F34</f>
        <v>961.53846153846155</v>
      </c>
      <c r="I34" s="1103"/>
      <c r="J34" s="912">
        <f>22000+3000</f>
        <v>25000</v>
      </c>
    </row>
    <row r="35" spans="1:10" ht="45" outlineLevel="1" x14ac:dyDescent="0.25">
      <c r="A35" s="485">
        <v>14</v>
      </c>
      <c r="B35" s="494" t="s">
        <v>1329</v>
      </c>
      <c r="C35" s="481">
        <f t="shared" si="3"/>
        <v>26</v>
      </c>
      <c r="D35" s="481">
        <f t="shared" si="4"/>
        <v>26</v>
      </c>
      <c r="E35" s="486">
        <f t="shared" si="5"/>
        <v>1</v>
      </c>
      <c r="F35" s="486">
        <v>1</v>
      </c>
      <c r="G35" s="481">
        <f t="shared" si="6"/>
        <v>12730.76923076923</v>
      </c>
      <c r="H35" s="481">
        <f t="shared" si="7"/>
        <v>12730.76923076923</v>
      </c>
      <c r="I35" s="1103"/>
      <c r="J35" s="912">
        <v>331000</v>
      </c>
    </row>
    <row r="36" spans="1:10" outlineLevel="1" x14ac:dyDescent="0.25">
      <c r="A36" s="485">
        <v>15</v>
      </c>
      <c r="B36" s="494" t="s">
        <v>1331</v>
      </c>
      <c r="C36" s="481">
        <f t="shared" si="3"/>
        <v>26</v>
      </c>
      <c r="D36" s="481">
        <f t="shared" si="4"/>
        <v>26</v>
      </c>
      <c r="E36" s="486">
        <f t="shared" si="5"/>
        <v>1</v>
      </c>
      <c r="F36" s="486">
        <v>1</v>
      </c>
      <c r="G36" s="481">
        <f t="shared" si="6"/>
        <v>1653.8461538461538</v>
      </c>
      <c r="H36" s="481">
        <f t="shared" si="7"/>
        <v>1653.8461538461538</v>
      </c>
      <c r="I36" s="1103"/>
      <c r="J36" s="912">
        <v>43000</v>
      </c>
    </row>
    <row r="37" spans="1:10" outlineLevel="1" x14ac:dyDescent="0.25">
      <c r="A37" s="485">
        <v>16</v>
      </c>
      <c r="B37" s="494" t="s">
        <v>1331</v>
      </c>
      <c r="C37" s="481">
        <f t="shared" si="3"/>
        <v>26</v>
      </c>
      <c r="D37" s="481">
        <f t="shared" si="4"/>
        <v>26</v>
      </c>
      <c r="E37" s="486">
        <f t="shared" si="5"/>
        <v>1</v>
      </c>
      <c r="F37" s="486">
        <v>1</v>
      </c>
      <c r="G37" s="481">
        <f t="shared" si="6"/>
        <v>315.38461538461536</v>
      </c>
      <c r="H37" s="481">
        <f t="shared" si="7"/>
        <v>315.38461538461536</v>
      </c>
      <c r="I37" s="1103"/>
      <c r="J37" s="912">
        <v>8200</v>
      </c>
    </row>
    <row r="38" spans="1:10" outlineLevel="1" x14ac:dyDescent="0.25">
      <c r="A38" s="485">
        <v>17</v>
      </c>
      <c r="B38" s="494" t="s">
        <v>1332</v>
      </c>
      <c r="C38" s="481">
        <f t="shared" si="3"/>
        <v>26</v>
      </c>
      <c r="D38" s="481">
        <f t="shared" si="4"/>
        <v>26</v>
      </c>
      <c r="E38" s="486">
        <f t="shared" si="5"/>
        <v>1</v>
      </c>
      <c r="F38" s="486">
        <v>1</v>
      </c>
      <c r="G38" s="481">
        <f t="shared" si="6"/>
        <v>3500</v>
      </c>
      <c r="H38" s="481">
        <f t="shared" si="7"/>
        <v>3500</v>
      </c>
      <c r="I38" s="1103"/>
      <c r="J38" s="912">
        <v>91000</v>
      </c>
    </row>
    <row r="39" spans="1:10" outlineLevel="1" x14ac:dyDescent="0.25">
      <c r="A39" s="485">
        <v>18</v>
      </c>
      <c r="B39" s="494" t="s">
        <v>1332</v>
      </c>
      <c r="C39" s="481">
        <f t="shared" si="3"/>
        <v>26</v>
      </c>
      <c r="D39" s="481">
        <f t="shared" si="4"/>
        <v>26</v>
      </c>
      <c r="E39" s="486">
        <f t="shared" si="5"/>
        <v>1</v>
      </c>
      <c r="F39" s="486">
        <v>1</v>
      </c>
      <c r="G39" s="481">
        <f t="shared" si="6"/>
        <v>3076.9230769230771</v>
      </c>
      <c r="H39" s="481">
        <f t="shared" si="7"/>
        <v>3076.9230769230771</v>
      </c>
      <c r="I39" s="1103"/>
      <c r="J39" s="912">
        <v>80000</v>
      </c>
    </row>
    <row r="40" spans="1:10" ht="45" outlineLevel="1" x14ac:dyDescent="0.25">
      <c r="A40" s="485">
        <v>19</v>
      </c>
      <c r="B40" s="494" t="s">
        <v>1395</v>
      </c>
      <c r="C40" s="481">
        <f t="shared" ref="C40" si="13">D40</f>
        <v>26</v>
      </c>
      <c r="D40" s="481">
        <f t="shared" si="4"/>
        <v>26</v>
      </c>
      <c r="E40" s="486">
        <f t="shared" ref="E40" si="14">D40/C40</f>
        <v>1</v>
      </c>
      <c r="F40" s="486">
        <v>1</v>
      </c>
      <c r="G40" s="481">
        <f t="shared" ref="G40" si="15">J40/D40</f>
        <v>1146.1538461538462</v>
      </c>
      <c r="H40" s="481">
        <f t="shared" si="7"/>
        <v>1146.1538461538462</v>
      </c>
      <c r="I40" s="1103"/>
      <c r="J40" s="912">
        <v>29800</v>
      </c>
    </row>
    <row r="41" spans="1:10" ht="30" outlineLevel="1" x14ac:dyDescent="0.25">
      <c r="A41" s="485">
        <v>20</v>
      </c>
      <c r="B41" s="494" t="s">
        <v>1333</v>
      </c>
      <c r="C41" s="481">
        <f t="shared" si="3"/>
        <v>26</v>
      </c>
      <c r="D41" s="481">
        <f t="shared" si="4"/>
        <v>26</v>
      </c>
      <c r="E41" s="486">
        <f t="shared" si="5"/>
        <v>1</v>
      </c>
      <c r="F41" s="486">
        <v>1</v>
      </c>
      <c r="G41" s="481">
        <f t="shared" si="6"/>
        <v>500</v>
      </c>
      <c r="H41" s="481">
        <f t="shared" si="7"/>
        <v>500</v>
      </c>
      <c r="I41" s="1103"/>
      <c r="J41" s="912">
        <v>13000</v>
      </c>
    </row>
    <row r="42" spans="1:10" outlineLevel="1" x14ac:dyDescent="0.25">
      <c r="A42" s="485">
        <v>21</v>
      </c>
      <c r="B42" s="494" t="s">
        <v>1334</v>
      </c>
      <c r="C42" s="481">
        <f t="shared" si="3"/>
        <v>26</v>
      </c>
      <c r="D42" s="481">
        <f t="shared" si="4"/>
        <v>26</v>
      </c>
      <c r="E42" s="486">
        <f t="shared" si="5"/>
        <v>1</v>
      </c>
      <c r="F42" s="486">
        <v>1</v>
      </c>
      <c r="G42" s="481">
        <f t="shared" si="6"/>
        <v>115.38461538461539</v>
      </c>
      <c r="H42" s="481">
        <f t="shared" si="7"/>
        <v>115.38461538461539</v>
      </c>
      <c r="I42" s="1103"/>
      <c r="J42" s="912">
        <v>3000</v>
      </c>
    </row>
    <row r="43" spans="1:10" outlineLevel="1" x14ac:dyDescent="0.25">
      <c r="A43" s="485">
        <v>22</v>
      </c>
      <c r="B43" s="494" t="s">
        <v>1334</v>
      </c>
      <c r="C43" s="481">
        <f t="shared" si="3"/>
        <v>26</v>
      </c>
      <c r="D43" s="481">
        <f t="shared" si="4"/>
        <v>26</v>
      </c>
      <c r="E43" s="486">
        <f t="shared" si="5"/>
        <v>1</v>
      </c>
      <c r="F43" s="486">
        <v>1</v>
      </c>
      <c r="G43" s="481">
        <f t="shared" si="6"/>
        <v>115.38461538461539</v>
      </c>
      <c r="H43" s="481">
        <f t="shared" si="7"/>
        <v>115.38461538461539</v>
      </c>
      <c r="I43" s="1103"/>
      <c r="J43" s="912">
        <v>3000</v>
      </c>
    </row>
    <row r="44" spans="1:10" outlineLevel="1" x14ac:dyDescent="0.25">
      <c r="A44" s="485">
        <v>23</v>
      </c>
      <c r="B44" s="494" t="s">
        <v>1335</v>
      </c>
      <c r="C44" s="481">
        <f t="shared" si="3"/>
        <v>26</v>
      </c>
      <c r="D44" s="481">
        <f t="shared" si="4"/>
        <v>26</v>
      </c>
      <c r="E44" s="486">
        <f t="shared" si="5"/>
        <v>1</v>
      </c>
      <c r="F44" s="486">
        <v>1</v>
      </c>
      <c r="G44" s="481">
        <f t="shared" si="6"/>
        <v>115.38461538461539</v>
      </c>
      <c r="H44" s="481">
        <f t="shared" si="7"/>
        <v>115.38461538461539</v>
      </c>
      <c r="I44" s="1103"/>
      <c r="J44" s="912">
        <v>3000</v>
      </c>
    </row>
    <row r="45" spans="1:10" outlineLevel="1" x14ac:dyDescent="0.25">
      <c r="A45" s="485">
        <v>24</v>
      </c>
      <c r="B45" s="494" t="s">
        <v>1335</v>
      </c>
      <c r="C45" s="481">
        <f t="shared" si="3"/>
        <v>26</v>
      </c>
      <c r="D45" s="481">
        <f t="shared" si="4"/>
        <v>26</v>
      </c>
      <c r="E45" s="486">
        <f t="shared" si="5"/>
        <v>1</v>
      </c>
      <c r="F45" s="486">
        <v>1</v>
      </c>
      <c r="G45" s="481">
        <f t="shared" si="6"/>
        <v>115.38461538461539</v>
      </c>
      <c r="H45" s="481">
        <f t="shared" si="7"/>
        <v>115.38461538461539</v>
      </c>
      <c r="I45" s="1103"/>
      <c r="J45" s="912">
        <v>3000</v>
      </c>
    </row>
    <row r="46" spans="1:10" ht="30" outlineLevel="1" x14ac:dyDescent="0.25">
      <c r="A46" s="485">
        <v>25</v>
      </c>
      <c r="B46" s="494" t="s">
        <v>1336</v>
      </c>
      <c r="C46" s="481">
        <f t="shared" si="3"/>
        <v>26</v>
      </c>
      <c r="D46" s="481">
        <f t="shared" si="4"/>
        <v>26</v>
      </c>
      <c r="E46" s="486">
        <f t="shared" si="5"/>
        <v>1</v>
      </c>
      <c r="F46" s="486">
        <v>1</v>
      </c>
      <c r="G46" s="481">
        <f t="shared" si="6"/>
        <v>115.38461538461539</v>
      </c>
      <c r="H46" s="481">
        <f t="shared" si="7"/>
        <v>115.38461538461539</v>
      </c>
      <c r="I46" s="1103"/>
      <c r="J46" s="912">
        <v>3000</v>
      </c>
    </row>
    <row r="47" spans="1:10" ht="30" outlineLevel="1" x14ac:dyDescent="0.25">
      <c r="A47" s="485">
        <v>26</v>
      </c>
      <c r="B47" s="494" t="s">
        <v>1337</v>
      </c>
      <c r="C47" s="481">
        <f t="shared" si="3"/>
        <v>26</v>
      </c>
      <c r="D47" s="481">
        <f t="shared" si="4"/>
        <v>26</v>
      </c>
      <c r="E47" s="486">
        <f t="shared" si="5"/>
        <v>1</v>
      </c>
      <c r="F47" s="486">
        <v>1</v>
      </c>
      <c r="G47" s="481">
        <f t="shared" si="6"/>
        <v>115.38461538461539</v>
      </c>
      <c r="H47" s="481">
        <f t="shared" si="7"/>
        <v>115.38461538461539</v>
      </c>
      <c r="I47" s="1103"/>
      <c r="J47" s="912">
        <v>3000</v>
      </c>
    </row>
    <row r="48" spans="1:10" ht="30" outlineLevel="1" x14ac:dyDescent="0.25">
      <c r="A48" s="485">
        <v>27</v>
      </c>
      <c r="B48" s="494" t="s">
        <v>1337</v>
      </c>
      <c r="C48" s="481">
        <f t="shared" si="3"/>
        <v>26</v>
      </c>
      <c r="D48" s="481">
        <f t="shared" si="4"/>
        <v>26</v>
      </c>
      <c r="E48" s="486">
        <f t="shared" si="5"/>
        <v>1</v>
      </c>
      <c r="F48" s="486">
        <v>1</v>
      </c>
      <c r="G48" s="481">
        <f t="shared" si="6"/>
        <v>115.38461538461539</v>
      </c>
      <c r="H48" s="481">
        <f t="shared" si="7"/>
        <v>115.38461538461539</v>
      </c>
      <c r="I48" s="1103"/>
      <c r="J48" s="912">
        <v>3000</v>
      </c>
    </row>
    <row r="49" spans="1:11" ht="30" outlineLevel="1" x14ac:dyDescent="0.25">
      <c r="A49" s="485">
        <v>28</v>
      </c>
      <c r="B49" s="494" t="s">
        <v>1337</v>
      </c>
      <c r="C49" s="481">
        <f t="shared" si="3"/>
        <v>26</v>
      </c>
      <c r="D49" s="481">
        <f t="shared" si="4"/>
        <v>26</v>
      </c>
      <c r="E49" s="486">
        <f t="shared" si="5"/>
        <v>1</v>
      </c>
      <c r="F49" s="486">
        <v>1</v>
      </c>
      <c r="G49" s="481">
        <f t="shared" si="6"/>
        <v>115.38461538461539</v>
      </c>
      <c r="H49" s="481">
        <f t="shared" si="7"/>
        <v>115.38461538461539</v>
      </c>
      <c r="I49" s="1103"/>
      <c r="J49" s="912">
        <v>3000</v>
      </c>
    </row>
    <row r="50" spans="1:11" ht="30" outlineLevel="1" x14ac:dyDescent="0.25">
      <c r="A50" s="485">
        <v>29</v>
      </c>
      <c r="B50" s="494" t="s">
        <v>1337</v>
      </c>
      <c r="C50" s="481">
        <f t="shared" si="3"/>
        <v>26</v>
      </c>
      <c r="D50" s="481">
        <f t="shared" si="4"/>
        <v>26</v>
      </c>
      <c r="E50" s="486">
        <f t="shared" si="5"/>
        <v>1</v>
      </c>
      <c r="F50" s="486">
        <v>1</v>
      </c>
      <c r="G50" s="481">
        <f t="shared" si="6"/>
        <v>115.38461538461539</v>
      </c>
      <c r="H50" s="481">
        <f t="shared" si="7"/>
        <v>115.38461538461539</v>
      </c>
      <c r="I50" s="1103"/>
      <c r="J50" s="912">
        <v>3000</v>
      </c>
    </row>
    <row r="51" spans="1:11" ht="45" outlineLevel="1" x14ac:dyDescent="0.25">
      <c r="A51" s="485">
        <v>30</v>
      </c>
      <c r="B51" s="494" t="s">
        <v>1396</v>
      </c>
      <c r="C51" s="481">
        <f t="shared" ref="C51" si="16">D51</f>
        <v>26</v>
      </c>
      <c r="D51" s="481">
        <f t="shared" si="4"/>
        <v>26</v>
      </c>
      <c r="E51" s="486">
        <f t="shared" ref="E51" si="17">D51/C51</f>
        <v>1</v>
      </c>
      <c r="F51" s="486">
        <v>1</v>
      </c>
      <c r="G51" s="481">
        <f t="shared" ref="G51" si="18">J51/D51</f>
        <v>73.07692307692308</v>
      </c>
      <c r="H51" s="481">
        <f t="shared" si="7"/>
        <v>73.07692307692308</v>
      </c>
      <c r="I51" s="1103"/>
      <c r="J51" s="912">
        <v>1900</v>
      </c>
    </row>
    <row r="52" spans="1:11" ht="15" customHeight="1" x14ac:dyDescent="0.25">
      <c r="A52" s="1120" t="s">
        <v>17</v>
      </c>
      <c r="B52" s="1121"/>
      <c r="C52" s="1121"/>
      <c r="D52" s="1121"/>
      <c r="E52" s="1121"/>
      <c r="F52" s="1121"/>
      <c r="G52" s="1122"/>
      <c r="H52" s="56">
        <f>SUM(H22:H51)</f>
        <v>60822.923076923093</v>
      </c>
      <c r="I52" s="1119"/>
      <c r="J52" s="906"/>
    </row>
    <row r="53" spans="1:11" x14ac:dyDescent="0.25">
      <c r="A53" s="1127" t="s">
        <v>18</v>
      </c>
      <c r="B53" s="1128"/>
      <c r="C53" s="1128"/>
      <c r="D53" s="1128"/>
      <c r="E53" s="1128"/>
      <c r="F53" s="1128"/>
      <c r="G53" s="1129"/>
      <c r="H53" s="498">
        <f>H52+H18+H7</f>
        <v>157172.94807692309</v>
      </c>
      <c r="I53" s="43"/>
      <c r="J53" s="906">
        <f>SUM(J22:J52)</f>
        <v>1581396</v>
      </c>
      <c r="K53" s="906">
        <f>H52*D51</f>
        <v>1581396.0000000005</v>
      </c>
    </row>
    <row r="54" spans="1:11" x14ac:dyDescent="0.25">
      <c r="J54" s="59">
        <f>J53+J7</f>
        <v>4086496.65</v>
      </c>
      <c r="K54" s="59">
        <f>J53-K53</f>
        <v>0</v>
      </c>
    </row>
    <row r="55" spans="1:11" x14ac:dyDescent="0.25">
      <c r="J55" s="59">
        <f>H53*D50</f>
        <v>4086496.6500000004</v>
      </c>
    </row>
  </sheetData>
  <mergeCells count="9">
    <mergeCell ref="I22:I52"/>
    <mergeCell ref="A52:G52"/>
    <mergeCell ref="A53:G53"/>
    <mergeCell ref="A1:I1"/>
    <mergeCell ref="A7:G7"/>
    <mergeCell ref="A10:I10"/>
    <mergeCell ref="I11:I18"/>
    <mergeCell ref="A18:G18"/>
    <mergeCell ref="A21:I21"/>
  </mergeCells>
  <printOptions horizontalCentered="1"/>
  <pageMargins left="0.23622047244094491" right="0.23622047244094491" top="0.39370078740157483" bottom="0.19685039370078741" header="0" footer="0"/>
  <pageSetup paperSize="9" scale="78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A2" sqref="A2"/>
    </sheetView>
  </sheetViews>
  <sheetFormatPr defaultRowHeight="15" x14ac:dyDescent="0.25"/>
  <cols>
    <col min="1" max="1" width="29.5703125" style="48" customWidth="1"/>
    <col min="2" max="4" width="10" style="48" customWidth="1"/>
    <col min="5" max="11" width="7.7109375" style="48" customWidth="1"/>
    <col min="12" max="12" width="16.42578125" style="48" customWidth="1"/>
    <col min="13" max="16384" width="9.140625" style="48"/>
  </cols>
  <sheetData>
    <row r="1" spans="1:12" x14ac:dyDescent="0.25">
      <c r="A1" s="1144" t="s">
        <v>1388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</row>
    <row r="2" spans="1:12" ht="6" customHeight="1" x14ac:dyDescent="0.25"/>
    <row r="3" spans="1:12" ht="28.5" customHeight="1" x14ac:dyDescent="0.25">
      <c r="A3" s="1090" t="s">
        <v>160</v>
      </c>
      <c r="B3" s="1106" t="s">
        <v>161</v>
      </c>
      <c r="C3" s="1107"/>
      <c r="D3" s="1108"/>
      <c r="E3" s="1109" t="s">
        <v>162</v>
      </c>
      <c r="F3" s="1110"/>
      <c r="G3" s="1110"/>
      <c r="H3" s="1110"/>
      <c r="I3" s="1110"/>
      <c r="J3" s="1110"/>
      <c r="K3" s="1111"/>
      <c r="L3" s="1090" t="s">
        <v>163</v>
      </c>
    </row>
    <row r="4" spans="1:12" x14ac:dyDescent="0.25">
      <c r="A4" s="1105"/>
      <c r="B4" s="127" t="s">
        <v>164</v>
      </c>
      <c r="C4" s="127" t="s">
        <v>165</v>
      </c>
      <c r="D4" s="127" t="s">
        <v>166</v>
      </c>
      <c r="E4" s="127" t="s">
        <v>167</v>
      </c>
      <c r="F4" s="127" t="s">
        <v>168</v>
      </c>
      <c r="G4" s="127" t="s">
        <v>169</v>
      </c>
      <c r="H4" s="127" t="s">
        <v>170</v>
      </c>
      <c r="I4" s="127" t="s">
        <v>171</v>
      </c>
      <c r="J4" s="127" t="s">
        <v>172</v>
      </c>
      <c r="K4" s="127" t="s">
        <v>173</v>
      </c>
      <c r="L4" s="1105"/>
    </row>
    <row r="5" spans="1:12" s="129" customFormat="1" ht="11.2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  <c r="J5" s="128">
        <v>10</v>
      </c>
      <c r="K5" s="128">
        <v>11</v>
      </c>
      <c r="L5" s="128">
        <v>12</v>
      </c>
    </row>
    <row r="6" spans="1:12" s="60" customFormat="1" ht="51" x14ac:dyDescent="0.25">
      <c r="A6" s="130" t="str">
        <f>'Свод РЦВК 2020'!D37</f>
        <v>Обеспечение материально-технического сопровождения деятельности государственных органов</v>
      </c>
      <c r="B6" s="133">
        <f>№32!H7</f>
        <v>96350.024999999994</v>
      </c>
      <c r="C6" s="133">
        <f>№32!H18</f>
        <v>0</v>
      </c>
      <c r="D6" s="133">
        <f>№32!H52</f>
        <v>60822.923076923093</v>
      </c>
      <c r="E6" s="275"/>
      <c r="F6" s="275"/>
      <c r="G6" s="275"/>
      <c r="H6" s="275"/>
      <c r="I6" s="275"/>
      <c r="J6" s="275"/>
      <c r="K6" s="275"/>
      <c r="L6" s="133">
        <f>SUM(B6:K6)</f>
        <v>157172.94807692309</v>
      </c>
    </row>
    <row r="18" spans="6:6" x14ac:dyDescent="0.25">
      <c r="F18" s="58"/>
    </row>
  </sheetData>
  <mergeCells count="5">
    <mergeCell ref="A1:L1"/>
    <mergeCell ref="A3:A4"/>
    <mergeCell ref="B3:D3"/>
    <mergeCell ref="E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S40"/>
  <sheetViews>
    <sheetView zoomScaleNormal="100" workbookViewId="0">
      <pane xSplit="2" ySplit="5" topLeftCell="C22" activePane="bottomRight" state="frozen"/>
      <selection activeCell="C6" sqref="C6"/>
      <selection pane="topRight" activeCell="C6" sqref="C6"/>
      <selection pane="bottomLeft" activeCell="C6" sqref="C6"/>
      <selection pane="bottomRight" activeCell="S26" sqref="S26"/>
    </sheetView>
  </sheetViews>
  <sheetFormatPr defaultRowHeight="15" outlineLevelCol="1" x14ac:dyDescent="0.25"/>
  <cols>
    <col min="1" max="1" width="4.42578125" style="178" customWidth="1"/>
    <col min="2" max="2" width="35.140625" style="48" customWidth="1"/>
    <col min="3" max="3" width="12.85546875" style="48" customWidth="1"/>
    <col min="4" max="4" width="18.140625" style="48" customWidth="1"/>
    <col min="5" max="5" width="15.28515625" style="48" customWidth="1"/>
    <col min="6" max="6" width="11.5703125" style="48" customWidth="1" outlineLevel="1"/>
    <col min="7" max="7" width="11.5703125" style="48" customWidth="1"/>
    <col min="8" max="8" width="7.42578125" style="116" customWidth="1" outlineLevel="1"/>
    <col min="9" max="9" width="10.7109375" style="116" customWidth="1" outlineLevel="1"/>
    <col min="10" max="10" width="10.5703125" style="116" customWidth="1" outlineLevel="1"/>
    <col min="11" max="11" width="9.42578125" style="116" customWidth="1" outlineLevel="1"/>
    <col min="12" max="12" width="12.85546875" style="116" customWidth="1" outlineLevel="1"/>
    <col min="13" max="13" width="9.140625" style="179" customWidth="1" outlineLevel="1"/>
    <col min="14" max="14" width="11.7109375" style="179" customWidth="1"/>
    <col min="15" max="15" width="11.28515625" style="179" customWidth="1"/>
    <col min="16" max="16" width="17.28515625" style="180" customWidth="1"/>
    <col min="17" max="17" width="18.85546875" style="179" bestFit="1" customWidth="1"/>
    <col min="18" max="18" width="9.7109375" style="179" bestFit="1" customWidth="1"/>
    <col min="19" max="19" width="15.140625" style="179" customWidth="1"/>
    <col min="20" max="16384" width="9.140625" style="179"/>
  </cols>
  <sheetData>
    <row r="1" spans="1:19" x14ac:dyDescent="0.25">
      <c r="P1" s="118" t="s">
        <v>99</v>
      </c>
    </row>
    <row r="2" spans="1:19" ht="18.75" x14ac:dyDescent="0.25">
      <c r="A2" s="1179" t="s">
        <v>722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</row>
    <row r="3" spans="1:19" x14ac:dyDescent="0.25">
      <c r="A3" s="1180" t="s">
        <v>0</v>
      </c>
      <c r="B3" s="1180" t="s">
        <v>25</v>
      </c>
      <c r="C3" s="1180" t="s">
        <v>26</v>
      </c>
      <c r="D3" s="1180" t="s">
        <v>27</v>
      </c>
      <c r="E3" s="1180" t="s">
        <v>28</v>
      </c>
      <c r="F3" s="1180" t="s">
        <v>100</v>
      </c>
      <c r="G3" s="1180" t="s">
        <v>29</v>
      </c>
      <c r="H3" s="1181" t="s">
        <v>46</v>
      </c>
      <c r="I3" s="1181"/>
      <c r="J3" s="1181"/>
      <c r="K3" s="1181"/>
      <c r="L3" s="1181"/>
      <c r="M3" s="1181"/>
      <c r="N3" s="457" t="s">
        <v>326</v>
      </c>
      <c r="O3" s="1182" t="s">
        <v>59</v>
      </c>
      <c r="P3" s="1182" t="s">
        <v>397</v>
      </c>
    </row>
    <row r="4" spans="1:19" ht="45" x14ac:dyDescent="0.25">
      <c r="A4" s="1180"/>
      <c r="B4" s="1180"/>
      <c r="C4" s="1180"/>
      <c r="D4" s="1180"/>
      <c r="E4" s="1180"/>
      <c r="F4" s="1180"/>
      <c r="G4" s="1180"/>
      <c r="H4" s="456" t="s">
        <v>47</v>
      </c>
      <c r="I4" s="456" t="s">
        <v>48</v>
      </c>
      <c r="J4" s="456" t="s">
        <v>49</v>
      </c>
      <c r="K4" s="456" t="s">
        <v>50</v>
      </c>
      <c r="L4" s="456" t="s">
        <v>337</v>
      </c>
      <c r="M4" s="456" t="s">
        <v>51</v>
      </c>
      <c r="N4" s="456" t="s">
        <v>338</v>
      </c>
      <c r="O4" s="1182"/>
      <c r="P4" s="1182"/>
      <c r="Q4" s="451" t="s">
        <v>724</v>
      </c>
      <c r="R4" s="165">
        <f>'ФОТ 2020'!G34</f>
        <v>260.16000000000003</v>
      </c>
    </row>
    <row r="5" spans="1:19" s="119" customFormat="1" ht="11.25" x14ac:dyDescent="0.25">
      <c r="A5" s="601"/>
      <c r="B5" s="601">
        <v>1</v>
      </c>
      <c r="C5" s="601">
        <v>2</v>
      </c>
      <c r="D5" s="601">
        <v>3</v>
      </c>
      <c r="E5" s="601">
        <v>4</v>
      </c>
      <c r="F5" s="1177">
        <v>5</v>
      </c>
      <c r="G5" s="1177"/>
      <c r="H5" s="1178">
        <v>6</v>
      </c>
      <c r="I5" s="1178"/>
      <c r="J5" s="1178"/>
      <c r="K5" s="1178"/>
      <c r="L5" s="1178"/>
      <c r="M5" s="1178"/>
      <c r="N5" s="1178"/>
      <c r="O5" s="601">
        <v>7</v>
      </c>
      <c r="P5" s="601">
        <v>8</v>
      </c>
    </row>
    <row r="6" spans="1:19" ht="63.75" x14ac:dyDescent="0.25">
      <c r="A6" s="602">
        <f>'Свод РЦВК 2020'!A5</f>
        <v>1</v>
      </c>
      <c r="B6" s="603" t="str">
        <f>'Свод РЦВК 2020'!D5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C6" s="604" t="s">
        <v>31</v>
      </c>
      <c r="D6" s="604" t="s">
        <v>153</v>
      </c>
      <c r="E6" s="604" t="s">
        <v>195</v>
      </c>
      <c r="F6" s="605">
        <f>G6</f>
        <v>61594</v>
      </c>
      <c r="G6" s="605">
        <f>'Свод РЦВК 2020'!I5</f>
        <v>61594</v>
      </c>
      <c r="H6" s="606" t="s">
        <v>399</v>
      </c>
      <c r="I6" s="606">
        <v>2</v>
      </c>
      <c r="J6" s="606">
        <v>3</v>
      </c>
      <c r="K6" s="606">
        <v>5</v>
      </c>
      <c r="L6" s="606">
        <v>3</v>
      </c>
      <c r="M6" s="607">
        <f>SUM(H6:L6)</f>
        <v>13</v>
      </c>
      <c r="N6" s="608">
        <f t="shared" ref="N6:N15" si="0">ROUND((M6*1/60),2)</f>
        <v>0.22</v>
      </c>
      <c r="O6" s="609">
        <f>G6*N6</f>
        <v>13550.68</v>
      </c>
      <c r="P6" s="610"/>
      <c r="R6" s="165">
        <f>N6*$R$4</f>
        <v>57.235200000000006</v>
      </c>
      <c r="S6" s="165">
        <f>ROUND(R6*G6,2)</f>
        <v>3525344.91</v>
      </c>
    </row>
    <row r="7" spans="1:19" ht="51" x14ac:dyDescent="0.25">
      <c r="A7" s="602">
        <f>'Свод РЦВК 2020'!A6</f>
        <v>2</v>
      </c>
      <c r="B7" s="603" t="str">
        <f>'Свод РЦВК 2020'!D6</f>
        <v>Проведение ветеринарно-санитарной экспертизы сырья и продукции животного происхождения на трихинеллез</v>
      </c>
      <c r="C7" s="611" t="s">
        <v>31</v>
      </c>
      <c r="D7" s="611" t="s">
        <v>387</v>
      </c>
      <c r="E7" s="611" t="s">
        <v>32</v>
      </c>
      <c r="F7" s="605">
        <f t="shared" ref="F7:F16" si="1">G7</f>
        <v>2800</v>
      </c>
      <c r="G7" s="605">
        <f>'Свод РЦВК 2020'!I6</f>
        <v>2800</v>
      </c>
      <c r="H7" s="612"/>
      <c r="I7" s="612"/>
      <c r="J7" s="612">
        <v>3</v>
      </c>
      <c r="K7" s="612">
        <v>12</v>
      </c>
      <c r="L7" s="612"/>
      <c r="M7" s="460">
        <f>SUM(H7:L7)</f>
        <v>15</v>
      </c>
      <c r="N7" s="613">
        <f t="shared" si="0"/>
        <v>0.25</v>
      </c>
      <c r="O7" s="609">
        <f t="shared" ref="O7:O25" si="2">G7*N7</f>
        <v>700</v>
      </c>
      <c r="P7" s="611"/>
      <c r="R7" s="165">
        <f t="shared" ref="R7:R25" si="3">N7*$R$4</f>
        <v>65.040000000000006</v>
      </c>
      <c r="S7" s="165">
        <f t="shared" ref="S7:S25" si="4">ROUND(R7*G7,2)</f>
        <v>182112</v>
      </c>
    </row>
    <row r="8" spans="1:19" ht="51" x14ac:dyDescent="0.25">
      <c r="A8" s="602">
        <f>'Свод РЦВК 2020'!A7</f>
        <v>3</v>
      </c>
      <c r="B8" s="603" t="str">
        <f>'Свод РЦВК 2020'!D7</f>
        <v>Проведение ветеринарно-санитарной экспертизы сырья и продукции животного происхождения на трихинеллез</v>
      </c>
      <c r="C8" s="604" t="s">
        <v>31</v>
      </c>
      <c r="D8" s="604" t="s">
        <v>380</v>
      </c>
      <c r="E8" s="604" t="s">
        <v>197</v>
      </c>
      <c r="F8" s="605">
        <f t="shared" si="1"/>
        <v>14</v>
      </c>
      <c r="G8" s="605">
        <f>'Свод РЦВК 2020'!I7</f>
        <v>14</v>
      </c>
      <c r="H8" s="606" t="s">
        <v>399</v>
      </c>
      <c r="I8" s="606" t="s">
        <v>399</v>
      </c>
      <c r="J8" s="606" t="s">
        <v>399</v>
      </c>
      <c r="K8" s="606" t="s">
        <v>399</v>
      </c>
      <c r="L8" s="606">
        <v>10</v>
      </c>
      <c r="M8" s="614">
        <f>SUM(H8:L8)</f>
        <v>10</v>
      </c>
      <c r="N8" s="608">
        <f t="shared" si="0"/>
        <v>0.17</v>
      </c>
      <c r="O8" s="609">
        <f t="shared" si="2"/>
        <v>2.3800000000000003</v>
      </c>
      <c r="P8" s="610"/>
      <c r="R8" s="165">
        <f t="shared" si="3"/>
        <v>44.227200000000011</v>
      </c>
      <c r="S8" s="165">
        <f t="shared" si="4"/>
        <v>619.17999999999995</v>
      </c>
    </row>
    <row r="9" spans="1:19" ht="76.5" x14ac:dyDescent="0.25">
      <c r="A9" s="602">
        <f>'Свод РЦВК 2020'!A8</f>
        <v>4</v>
      </c>
      <c r="B9" s="603" t="str">
        <f>'Свод РЦВК 2020'!D8</f>
        <v>Проведение ветеринарно-санитарной экспертизы сырья и продукции животного происхождения на трихинеллез</v>
      </c>
      <c r="C9" s="611" t="s">
        <v>31</v>
      </c>
      <c r="D9" s="611" t="s">
        <v>153</v>
      </c>
      <c r="E9" s="611" t="s">
        <v>391</v>
      </c>
      <c r="F9" s="605">
        <f t="shared" si="1"/>
        <v>3677</v>
      </c>
      <c r="G9" s="605">
        <f>'Свод РЦВК 2020'!I8</f>
        <v>3677</v>
      </c>
      <c r="H9" s="612"/>
      <c r="I9" s="612">
        <v>10</v>
      </c>
      <c r="J9" s="612">
        <v>15</v>
      </c>
      <c r="K9" s="612">
        <v>60</v>
      </c>
      <c r="L9" s="612">
        <v>20</v>
      </c>
      <c r="M9" s="460">
        <f>SUM(H9:L9)</f>
        <v>105</v>
      </c>
      <c r="N9" s="460">
        <f t="shared" si="0"/>
        <v>1.75</v>
      </c>
      <c r="O9" s="609">
        <f t="shared" si="2"/>
        <v>6434.75</v>
      </c>
      <c r="P9" s="611" t="s">
        <v>398</v>
      </c>
      <c r="Q9" s="452" t="s">
        <v>723</v>
      </c>
      <c r="R9" s="165">
        <f t="shared" si="3"/>
        <v>455.28000000000003</v>
      </c>
      <c r="S9" s="165">
        <f t="shared" si="4"/>
        <v>1674064.56</v>
      </c>
    </row>
    <row r="10" spans="1:19" ht="63.75" x14ac:dyDescent="0.25">
      <c r="A10" s="602">
        <f>'Свод РЦВК 2020'!A9</f>
        <v>5</v>
      </c>
      <c r="B10" s="603" t="str">
        <f>'Свод РЦВК 2020'!D9</f>
        <v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v>
      </c>
      <c r="C10" s="604" t="s">
        <v>31</v>
      </c>
      <c r="D10" s="604" t="s">
        <v>153</v>
      </c>
      <c r="E10" s="604" t="s">
        <v>195</v>
      </c>
      <c r="F10" s="605">
        <f>G10</f>
        <v>275</v>
      </c>
      <c r="G10" s="605">
        <f>'Свод РЦВК 2020'!I9</f>
        <v>275</v>
      </c>
      <c r="H10" s="606" t="s">
        <v>399</v>
      </c>
      <c r="I10" s="615"/>
      <c r="J10" s="615"/>
      <c r="K10" s="615"/>
      <c r="L10" s="615"/>
      <c r="M10" s="455">
        <v>120</v>
      </c>
      <c r="N10" s="613">
        <f t="shared" si="0"/>
        <v>2</v>
      </c>
      <c r="O10" s="609">
        <f t="shared" si="2"/>
        <v>550</v>
      </c>
      <c r="P10" s="610"/>
      <c r="R10" s="165">
        <f t="shared" si="3"/>
        <v>520.32000000000005</v>
      </c>
      <c r="S10" s="165">
        <f t="shared" si="4"/>
        <v>143088</v>
      </c>
    </row>
    <row r="11" spans="1:19" ht="76.5" x14ac:dyDescent="0.25">
      <c r="A11" s="602">
        <f>'Свод РЦВК 2020'!A10</f>
        <v>6</v>
      </c>
      <c r="B11" s="603" t="str">
        <f>'Свод РЦВК 2020'!D10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C11" s="604" t="s">
        <v>31</v>
      </c>
      <c r="D11" s="604" t="s">
        <v>380</v>
      </c>
      <c r="E11" s="604" t="s">
        <v>197</v>
      </c>
      <c r="F11" s="605">
        <f t="shared" si="1"/>
        <v>107</v>
      </c>
      <c r="G11" s="605">
        <f>'Свод РЦВК 2020'!I10</f>
        <v>107</v>
      </c>
      <c r="H11" s="606" t="s">
        <v>399</v>
      </c>
      <c r="I11" s="606" t="s">
        <v>399</v>
      </c>
      <c r="J11" s="606" t="s">
        <v>399</v>
      </c>
      <c r="K11" s="606" t="s">
        <v>399</v>
      </c>
      <c r="L11" s="606">
        <v>10</v>
      </c>
      <c r="M11" s="607">
        <f>SUM(H11:L11)</f>
        <v>10</v>
      </c>
      <c r="N11" s="460">
        <f t="shared" si="0"/>
        <v>0.17</v>
      </c>
      <c r="O11" s="609">
        <f t="shared" si="2"/>
        <v>18.190000000000001</v>
      </c>
      <c r="P11" s="616"/>
      <c r="R11" s="165">
        <f t="shared" si="3"/>
        <v>44.227200000000011</v>
      </c>
      <c r="S11" s="165">
        <f t="shared" si="4"/>
        <v>4732.3100000000004</v>
      </c>
    </row>
    <row r="12" spans="1:19" ht="76.5" x14ac:dyDescent="0.25">
      <c r="A12" s="602">
        <f>'Свод РЦВК 2020'!A11</f>
        <v>7</v>
      </c>
      <c r="B12" s="603" t="str">
        <f>'Свод РЦВК 2020'!D11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C12" s="604" t="s">
        <v>31</v>
      </c>
      <c r="D12" s="604" t="s">
        <v>153</v>
      </c>
      <c r="E12" s="604" t="s">
        <v>195</v>
      </c>
      <c r="F12" s="605">
        <f t="shared" si="1"/>
        <v>321</v>
      </c>
      <c r="G12" s="605">
        <f>'Свод РЦВК 2020'!I11</f>
        <v>321</v>
      </c>
      <c r="H12" s="606" t="s">
        <v>399</v>
      </c>
      <c r="I12" s="615"/>
      <c r="J12" s="615"/>
      <c r="K12" s="615"/>
      <c r="L12" s="615"/>
      <c r="M12" s="455">
        <v>432</v>
      </c>
      <c r="N12" s="613">
        <f t="shared" si="0"/>
        <v>7.2</v>
      </c>
      <c r="O12" s="609">
        <f t="shared" si="2"/>
        <v>2311.2000000000003</v>
      </c>
      <c r="P12" s="616"/>
      <c r="R12" s="165">
        <f t="shared" si="3"/>
        <v>1873.1520000000003</v>
      </c>
      <c r="S12" s="165">
        <f t="shared" si="4"/>
        <v>601281.79</v>
      </c>
    </row>
    <row r="13" spans="1:19" ht="76.5" x14ac:dyDescent="0.25">
      <c r="A13" s="602">
        <f>'Свод РЦВК 2020'!A12</f>
        <v>8</v>
      </c>
      <c r="B13" s="603" t="str">
        <f>'Свод РЦВК 2020'!D12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C13" s="500" t="s">
        <v>34</v>
      </c>
      <c r="D13" s="500" t="s">
        <v>387</v>
      </c>
      <c r="E13" s="500" t="s">
        <v>32</v>
      </c>
      <c r="F13" s="605">
        <f t="shared" si="1"/>
        <v>382</v>
      </c>
      <c r="G13" s="605">
        <f>'Свод РЦВК 2020'!I12</f>
        <v>382</v>
      </c>
      <c r="H13" s="612">
        <v>45</v>
      </c>
      <c r="I13" s="606">
        <v>5</v>
      </c>
      <c r="J13" s="606">
        <v>10</v>
      </c>
      <c r="K13" s="606">
        <v>40</v>
      </c>
      <c r="L13" s="606">
        <v>20</v>
      </c>
      <c r="M13" s="460">
        <f t="shared" ref="M13:M25" si="5">SUM(H13:L13)</f>
        <v>120</v>
      </c>
      <c r="N13" s="617">
        <f t="shared" si="0"/>
        <v>2</v>
      </c>
      <c r="O13" s="609">
        <f t="shared" si="2"/>
        <v>764</v>
      </c>
      <c r="P13" s="611"/>
      <c r="R13" s="165">
        <f t="shared" si="3"/>
        <v>520.32000000000005</v>
      </c>
      <c r="S13" s="165">
        <f t="shared" si="4"/>
        <v>198762.23999999999</v>
      </c>
    </row>
    <row r="14" spans="1:19" ht="51" x14ac:dyDescent="0.25">
      <c r="A14" s="602">
        <f>'Свод РЦВК 2020'!A13</f>
        <v>9</v>
      </c>
      <c r="B14" s="603" t="str">
        <f>'Свод РЦВК 2020'!D13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4" s="611" t="s">
        <v>31</v>
      </c>
      <c r="D14" s="611" t="s">
        <v>387</v>
      </c>
      <c r="E14" s="611" t="s">
        <v>32</v>
      </c>
      <c r="F14" s="605">
        <f t="shared" si="1"/>
        <v>12</v>
      </c>
      <c r="G14" s="605">
        <f>'Свод РЦВК 2020'!I13</f>
        <v>12</v>
      </c>
      <c r="H14" s="457"/>
      <c r="I14" s="457">
        <v>13</v>
      </c>
      <c r="J14" s="457">
        <v>3</v>
      </c>
      <c r="K14" s="457">
        <v>5</v>
      </c>
      <c r="L14" s="457">
        <v>7</v>
      </c>
      <c r="M14" s="455">
        <f t="shared" si="5"/>
        <v>28</v>
      </c>
      <c r="N14" s="455">
        <f t="shared" si="0"/>
        <v>0.47</v>
      </c>
      <c r="O14" s="609">
        <f t="shared" si="2"/>
        <v>5.64</v>
      </c>
      <c r="P14" s="611" t="s">
        <v>52</v>
      </c>
      <c r="R14" s="165">
        <f t="shared" si="3"/>
        <v>122.2752</v>
      </c>
      <c r="S14" s="165">
        <f t="shared" si="4"/>
        <v>1467.3</v>
      </c>
    </row>
    <row r="15" spans="1:19" ht="51" x14ac:dyDescent="0.25">
      <c r="A15" s="602">
        <f>'Свод РЦВК 2020'!A14</f>
        <v>10</v>
      </c>
      <c r="B15" s="603" t="str">
        <f>'Свод РЦВК 2020'!D14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5" s="611" t="s">
        <v>34</v>
      </c>
      <c r="D15" s="611" t="s">
        <v>388</v>
      </c>
      <c r="E15" s="611" t="s">
        <v>35</v>
      </c>
      <c r="F15" s="605">
        <f t="shared" si="1"/>
        <v>30500</v>
      </c>
      <c r="G15" s="605">
        <f>'Свод РЦВК 2020'!I14</f>
        <v>30500</v>
      </c>
      <c r="H15" s="457">
        <v>50</v>
      </c>
      <c r="I15" s="457">
        <v>13</v>
      </c>
      <c r="J15" s="457">
        <v>5</v>
      </c>
      <c r="K15" s="457">
        <v>5</v>
      </c>
      <c r="L15" s="457">
        <v>7</v>
      </c>
      <c r="M15" s="455">
        <f t="shared" si="5"/>
        <v>80</v>
      </c>
      <c r="N15" s="455">
        <f t="shared" si="0"/>
        <v>1.33</v>
      </c>
      <c r="O15" s="609">
        <f t="shared" si="2"/>
        <v>40565</v>
      </c>
      <c r="P15" s="611" t="s">
        <v>53</v>
      </c>
      <c r="R15" s="165">
        <f t="shared" si="3"/>
        <v>346.01280000000003</v>
      </c>
      <c r="S15" s="165">
        <f t="shared" si="4"/>
        <v>10553390.4</v>
      </c>
    </row>
    <row r="16" spans="1:19" ht="51" x14ac:dyDescent="0.25">
      <c r="A16" s="602">
        <f>'Свод РЦВК 2020'!A15</f>
        <v>11</v>
      </c>
      <c r="B16" s="603" t="str">
        <f>'Свод РЦВК 2020'!D15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C16" s="611" t="s">
        <v>34</v>
      </c>
      <c r="D16" s="611" t="s">
        <v>387</v>
      </c>
      <c r="E16" s="611" t="s">
        <v>32</v>
      </c>
      <c r="F16" s="605">
        <f t="shared" si="1"/>
        <v>3411</v>
      </c>
      <c r="G16" s="605">
        <f>'Свод РЦВК 2020'!I15</f>
        <v>3411</v>
      </c>
      <c r="H16" s="457">
        <v>25</v>
      </c>
      <c r="I16" s="457">
        <v>13</v>
      </c>
      <c r="J16" s="457">
        <v>3</v>
      </c>
      <c r="K16" s="457">
        <v>5</v>
      </c>
      <c r="L16" s="457">
        <v>7</v>
      </c>
      <c r="M16" s="455">
        <f t="shared" si="5"/>
        <v>53</v>
      </c>
      <c r="N16" s="455">
        <f t="shared" ref="N16:N25" si="6">ROUND((M16*1/60),2)</f>
        <v>0.88</v>
      </c>
      <c r="O16" s="609">
        <f t="shared" si="2"/>
        <v>3001.68</v>
      </c>
      <c r="P16" s="611" t="s">
        <v>52</v>
      </c>
      <c r="R16" s="165">
        <f t="shared" si="3"/>
        <v>228.94080000000002</v>
      </c>
      <c r="S16" s="165">
        <f t="shared" si="4"/>
        <v>780917.07</v>
      </c>
    </row>
    <row r="17" spans="1:19" ht="63.75" x14ac:dyDescent="0.25">
      <c r="A17" s="602">
        <f>'Свод РЦВК 2020'!A16</f>
        <v>12</v>
      </c>
      <c r="B17" s="603" t="str">
        <f>'Свод РЦВК 2020'!D16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17" s="618" t="s">
        <v>31</v>
      </c>
      <c r="D17" s="618" t="s">
        <v>389</v>
      </c>
      <c r="E17" s="619" t="s">
        <v>37</v>
      </c>
      <c r="F17" s="620">
        <f>G17*1000</f>
        <v>1000</v>
      </c>
      <c r="G17" s="555">
        <f>'Свод РЦВК 2020'!I16</f>
        <v>1</v>
      </c>
      <c r="H17" s="457"/>
      <c r="I17" s="457">
        <v>13</v>
      </c>
      <c r="J17" s="457">
        <v>3</v>
      </c>
      <c r="K17" s="457">
        <v>3</v>
      </c>
      <c r="L17" s="457">
        <v>7</v>
      </c>
      <c r="M17" s="455">
        <f t="shared" si="5"/>
        <v>26</v>
      </c>
      <c r="N17" s="455">
        <f>ROUND((M17*1/60),2)</f>
        <v>0.43</v>
      </c>
      <c r="O17" s="609">
        <f>F17*N17</f>
        <v>430</v>
      </c>
      <c r="P17" s="611" t="s">
        <v>54</v>
      </c>
      <c r="R17" s="165">
        <f t="shared" si="3"/>
        <v>111.86880000000001</v>
      </c>
      <c r="S17" s="165">
        <f>ROUND(R17*G17,2)*1000</f>
        <v>111870</v>
      </c>
    </row>
    <row r="18" spans="1:19" ht="63.75" x14ac:dyDescent="0.25">
      <c r="A18" s="602">
        <f>'Свод РЦВК 2020'!A17</f>
        <v>13</v>
      </c>
      <c r="B18" s="603" t="str">
        <f>'Свод РЦВК 2020'!D17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C18" s="618" t="s">
        <v>34</v>
      </c>
      <c r="D18" s="618" t="s">
        <v>396</v>
      </c>
      <c r="E18" s="619" t="s">
        <v>38</v>
      </c>
      <c r="F18" s="620">
        <f>G18*1000</f>
        <v>7859</v>
      </c>
      <c r="G18" s="555">
        <f>'Свод РЦВК 2020'!I17</f>
        <v>7.859</v>
      </c>
      <c r="H18" s="457">
        <v>25</v>
      </c>
      <c r="I18" s="457">
        <v>13</v>
      </c>
      <c r="J18" s="457">
        <v>3</v>
      </c>
      <c r="K18" s="457">
        <v>5</v>
      </c>
      <c r="L18" s="457">
        <v>7</v>
      </c>
      <c r="M18" s="455">
        <f t="shared" si="5"/>
        <v>53</v>
      </c>
      <c r="N18" s="455">
        <f t="shared" si="6"/>
        <v>0.88</v>
      </c>
      <c r="O18" s="609">
        <f>F18*N18</f>
        <v>6915.92</v>
      </c>
      <c r="P18" s="611" t="s">
        <v>55</v>
      </c>
      <c r="R18" s="165">
        <f t="shared" si="3"/>
        <v>228.94080000000002</v>
      </c>
      <c r="S18" s="165">
        <f>ROUND(R18*G18,2)*1000</f>
        <v>1799250</v>
      </c>
    </row>
    <row r="19" spans="1:19" ht="76.5" x14ac:dyDescent="0.25">
      <c r="A19" s="602">
        <f>'Свод РЦВК 2020'!A18</f>
        <v>14</v>
      </c>
      <c r="B19" s="603" t="str">
        <f>'Свод РЦВК 2020'!D18</f>
        <v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v>
      </c>
      <c r="C19" s="618" t="s">
        <v>31</v>
      </c>
      <c r="D19" s="618" t="s">
        <v>380</v>
      </c>
      <c r="E19" s="618" t="s">
        <v>33</v>
      </c>
      <c r="F19" s="621">
        <f>G19</f>
        <v>72</v>
      </c>
      <c r="G19" s="605">
        <f>'Свод РЦВК 2020'!I18</f>
        <v>72</v>
      </c>
      <c r="H19" s="457"/>
      <c r="I19" s="457"/>
      <c r="J19" s="457"/>
      <c r="K19" s="457">
        <v>45</v>
      </c>
      <c r="L19" s="457"/>
      <c r="M19" s="455">
        <f t="shared" si="5"/>
        <v>45</v>
      </c>
      <c r="N19" s="455">
        <f t="shared" si="6"/>
        <v>0.75</v>
      </c>
      <c r="O19" s="609">
        <f t="shared" si="2"/>
        <v>54</v>
      </c>
      <c r="P19" s="611" t="s">
        <v>56</v>
      </c>
      <c r="R19" s="165">
        <f t="shared" si="3"/>
        <v>195.12</v>
      </c>
      <c r="S19" s="165">
        <f t="shared" si="4"/>
        <v>14048.64</v>
      </c>
    </row>
    <row r="20" spans="1:19" ht="63.75" x14ac:dyDescent="0.25">
      <c r="A20" s="602">
        <f>'Свод РЦВК 2020'!A19</f>
        <v>15</v>
      </c>
      <c r="B20" s="603" t="str">
        <f>'Свод РЦВК 2020'!D19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C20" s="618" t="s">
        <v>34</v>
      </c>
      <c r="D20" s="618" t="s">
        <v>380</v>
      </c>
      <c r="E20" s="618" t="s">
        <v>33</v>
      </c>
      <c r="F20" s="621">
        <f t="shared" ref="F20:F25" si="7">G20</f>
        <v>465</v>
      </c>
      <c r="G20" s="605">
        <f>'Свод РЦВК 2020'!I19</f>
        <v>465</v>
      </c>
      <c r="H20" s="457"/>
      <c r="I20" s="457"/>
      <c r="J20" s="457"/>
      <c r="K20" s="457">
        <v>15</v>
      </c>
      <c r="L20" s="457"/>
      <c r="M20" s="455">
        <f t="shared" si="5"/>
        <v>15</v>
      </c>
      <c r="N20" s="455">
        <f t="shared" si="6"/>
        <v>0.25</v>
      </c>
      <c r="O20" s="609">
        <f t="shared" si="2"/>
        <v>116.25</v>
      </c>
      <c r="P20" s="611" t="s">
        <v>57</v>
      </c>
      <c r="R20" s="165">
        <f t="shared" si="3"/>
        <v>65.040000000000006</v>
      </c>
      <c r="S20" s="165">
        <f t="shared" si="4"/>
        <v>30243.599999999999</v>
      </c>
    </row>
    <row r="21" spans="1:19" ht="63.75" x14ac:dyDescent="0.25">
      <c r="A21" s="602">
        <f>'Свод РЦВК 2020'!A20</f>
        <v>16</v>
      </c>
      <c r="B21" s="603" t="str">
        <f>'Свод РЦВК 2020'!D20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C21" s="618" t="s">
        <v>34</v>
      </c>
      <c r="D21" s="618" t="s">
        <v>390</v>
      </c>
      <c r="E21" s="618" t="s">
        <v>41</v>
      </c>
      <c r="F21" s="621">
        <f t="shared" si="7"/>
        <v>465</v>
      </c>
      <c r="G21" s="605">
        <f>'Свод РЦВК 2020'!I20</f>
        <v>465</v>
      </c>
      <c r="H21" s="457">
        <v>25</v>
      </c>
      <c r="I21" s="457"/>
      <c r="J21" s="457"/>
      <c r="K21" s="457">
        <v>90</v>
      </c>
      <c r="L21" s="457"/>
      <c r="M21" s="455">
        <f t="shared" si="5"/>
        <v>115</v>
      </c>
      <c r="N21" s="455">
        <f>ROUND((M21/60),2)</f>
        <v>1.92</v>
      </c>
      <c r="O21" s="609">
        <f t="shared" si="2"/>
        <v>892.8</v>
      </c>
      <c r="P21" s="611"/>
      <c r="R21" s="165">
        <f t="shared" si="3"/>
        <v>499.50720000000001</v>
      </c>
      <c r="S21" s="165">
        <f t="shared" si="4"/>
        <v>232270.85</v>
      </c>
    </row>
    <row r="22" spans="1:19" ht="38.25" x14ac:dyDescent="0.25">
      <c r="A22" s="602">
        <f>'Свод РЦВК 2020'!A21</f>
        <v>17</v>
      </c>
      <c r="B22" s="603" t="str">
        <f>'Свод РЦВК 2020'!D21</f>
        <v xml:space="preserve">Оформление и выдача ветеринарных сопроводительных документов </v>
      </c>
      <c r="C22" s="611" t="s">
        <v>31</v>
      </c>
      <c r="D22" s="618" t="s">
        <v>380</v>
      </c>
      <c r="E22" s="611" t="s">
        <v>33</v>
      </c>
      <c r="F22" s="621">
        <f t="shared" si="7"/>
        <v>160100</v>
      </c>
      <c r="G22" s="605">
        <f>'Свод РЦВК 2020'!I21</f>
        <v>160100</v>
      </c>
      <c r="H22" s="457"/>
      <c r="I22" s="457"/>
      <c r="J22" s="457"/>
      <c r="K22" s="457">
        <v>3</v>
      </c>
      <c r="L22" s="457"/>
      <c r="M22" s="455">
        <f t="shared" si="5"/>
        <v>3</v>
      </c>
      <c r="N22" s="455">
        <f t="shared" si="6"/>
        <v>0.05</v>
      </c>
      <c r="O22" s="609">
        <f t="shared" si="2"/>
        <v>8005</v>
      </c>
      <c r="P22" s="611" t="s">
        <v>58</v>
      </c>
      <c r="R22" s="165">
        <f t="shared" si="3"/>
        <v>13.008000000000003</v>
      </c>
      <c r="S22" s="165">
        <f t="shared" si="4"/>
        <v>2082580.8</v>
      </c>
    </row>
    <row r="23" spans="1:19" ht="51" x14ac:dyDescent="0.25">
      <c r="A23" s="602">
        <f>'Свод РЦВК 2020'!A22</f>
        <v>18</v>
      </c>
      <c r="B23" s="603" t="str">
        <f>'Свод РЦВК 2020'!D22</f>
        <v>Проведение ветеринарно-санитарной экспертизы сырья и продукции животного происхождения на трихинеллез</v>
      </c>
      <c r="C23" s="618" t="s">
        <v>34</v>
      </c>
      <c r="D23" s="618" t="s">
        <v>387</v>
      </c>
      <c r="E23" s="618" t="s">
        <v>391</v>
      </c>
      <c r="F23" s="621">
        <f t="shared" si="7"/>
        <v>877</v>
      </c>
      <c r="G23" s="605">
        <f>'Свод РЦВК 2020'!I22</f>
        <v>877</v>
      </c>
      <c r="H23" s="457">
        <v>45</v>
      </c>
      <c r="I23" s="457"/>
      <c r="J23" s="457">
        <v>5</v>
      </c>
      <c r="K23" s="457">
        <v>10</v>
      </c>
      <c r="L23" s="457"/>
      <c r="M23" s="455">
        <f t="shared" si="5"/>
        <v>60</v>
      </c>
      <c r="N23" s="455">
        <f t="shared" si="6"/>
        <v>1</v>
      </c>
      <c r="O23" s="609">
        <f t="shared" si="2"/>
        <v>877</v>
      </c>
      <c r="P23" s="611"/>
      <c r="R23" s="165">
        <f t="shared" si="3"/>
        <v>260.16000000000003</v>
      </c>
      <c r="S23" s="165">
        <f t="shared" si="4"/>
        <v>228160.32</v>
      </c>
    </row>
    <row r="24" spans="1:19" ht="38.25" x14ac:dyDescent="0.25">
      <c r="A24" s="602">
        <f>'Свод РЦВК 2020'!A23</f>
        <v>19</v>
      </c>
      <c r="B24" s="603" t="str">
        <f>'Свод РЦВК 2020'!D23</f>
        <v>Проведение учета и контроля за состоянием скотомогильников, включая сибиреязвенные</v>
      </c>
      <c r="C24" s="618" t="s">
        <v>34</v>
      </c>
      <c r="D24" s="618" t="s">
        <v>380</v>
      </c>
      <c r="E24" s="618" t="s">
        <v>41</v>
      </c>
      <c r="F24" s="621">
        <f t="shared" si="7"/>
        <v>66</v>
      </c>
      <c r="G24" s="605">
        <f>'Свод РЦВК 2020'!I23</f>
        <v>66</v>
      </c>
      <c r="H24" s="457"/>
      <c r="I24" s="457"/>
      <c r="J24" s="457"/>
      <c r="K24" s="457">
        <v>15</v>
      </c>
      <c r="L24" s="457"/>
      <c r="M24" s="455">
        <f t="shared" si="5"/>
        <v>15</v>
      </c>
      <c r="N24" s="455">
        <f t="shared" si="6"/>
        <v>0.25</v>
      </c>
      <c r="O24" s="609">
        <f t="shared" si="2"/>
        <v>16.5</v>
      </c>
      <c r="P24" s="611"/>
      <c r="R24" s="165">
        <f>N24*$R$4</f>
        <v>65.040000000000006</v>
      </c>
      <c r="S24" s="165">
        <f>ROUND(R24*G24,2)</f>
        <v>4292.6400000000003</v>
      </c>
    </row>
    <row r="25" spans="1:19" ht="38.25" x14ac:dyDescent="0.25">
      <c r="A25" s="602">
        <f>'Свод РЦВК 2020'!A24</f>
        <v>20</v>
      </c>
      <c r="B25" s="603" t="str">
        <f>'Свод РЦВК 2020'!D24</f>
        <v>Проведение учета и контроля за состоянием скотомогильников, включая сибиреязвенные</v>
      </c>
      <c r="C25" s="618" t="s">
        <v>34</v>
      </c>
      <c r="D25" s="618" t="s">
        <v>392</v>
      </c>
      <c r="E25" s="618" t="s">
        <v>41</v>
      </c>
      <c r="F25" s="621">
        <f t="shared" si="7"/>
        <v>66</v>
      </c>
      <c r="G25" s="605">
        <f>'Свод РЦВК 2020'!I24</f>
        <v>66</v>
      </c>
      <c r="H25" s="457">
        <v>45</v>
      </c>
      <c r="I25" s="457"/>
      <c r="J25" s="457"/>
      <c r="K25" s="457">
        <v>60</v>
      </c>
      <c r="L25" s="457"/>
      <c r="M25" s="455">
        <f t="shared" si="5"/>
        <v>105</v>
      </c>
      <c r="N25" s="455">
        <f t="shared" si="6"/>
        <v>1.75</v>
      </c>
      <c r="O25" s="609">
        <f t="shared" si="2"/>
        <v>115.5</v>
      </c>
      <c r="P25" s="611"/>
      <c r="R25" s="165">
        <f t="shared" si="3"/>
        <v>455.28000000000003</v>
      </c>
      <c r="S25" s="165">
        <f t="shared" si="4"/>
        <v>30048.48</v>
      </c>
    </row>
    <row r="26" spans="1:19" x14ac:dyDescent="0.25">
      <c r="E26" s="196" t="s">
        <v>74</v>
      </c>
      <c r="F26" s="503">
        <f>SUM(F6:F25)</f>
        <v>274063</v>
      </c>
      <c r="G26" s="193">
        <f>SUM(G6:G25)</f>
        <v>265212.859</v>
      </c>
      <c r="H26" s="198">
        <f t="shared" ref="H26:M26" si="8">SUM(H6:H25)</f>
        <v>260</v>
      </c>
      <c r="I26" s="198">
        <f t="shared" si="8"/>
        <v>82</v>
      </c>
      <c r="J26" s="198">
        <f t="shared" si="8"/>
        <v>53</v>
      </c>
      <c r="K26" s="198">
        <f t="shared" si="8"/>
        <v>378</v>
      </c>
      <c r="L26" s="198">
        <f t="shared" si="8"/>
        <v>98</v>
      </c>
      <c r="M26" s="198">
        <f t="shared" si="8"/>
        <v>1423</v>
      </c>
      <c r="N26" s="177">
        <f>SUM(N6:N25)</f>
        <v>23.720000000000002</v>
      </c>
      <c r="O26" s="177">
        <f>SUM(O6:O25)</f>
        <v>85326.489999999991</v>
      </c>
      <c r="P26" s="197"/>
      <c r="R26" s="177">
        <f>SUM(R6:R25)</f>
        <v>6170.9952000000003</v>
      </c>
      <c r="S26" s="177">
        <f>SUM(S6:S25)</f>
        <v>22198545.090000007</v>
      </c>
    </row>
    <row r="27" spans="1:19" x14ac:dyDescent="0.25">
      <c r="F27" s="111"/>
      <c r="G27" s="111"/>
    </row>
    <row r="28" spans="1:19" x14ac:dyDescent="0.25">
      <c r="F28" s="320">
        <f>'Свод РЦВК 2020'!H40</f>
        <v>274063</v>
      </c>
      <c r="G28" s="213">
        <f>'Свод РЦВК 2020'!I40</f>
        <v>265212.859</v>
      </c>
      <c r="K28" s="402"/>
      <c r="L28" s="403"/>
      <c r="M28" s="403"/>
      <c r="N28" s="403"/>
      <c r="P28" s="403"/>
    </row>
    <row r="29" spans="1:19" x14ac:dyDescent="0.25">
      <c r="B29" s="120"/>
      <c r="F29" s="49">
        <f>F26-F28</f>
        <v>0</v>
      </c>
      <c r="G29" s="49">
        <f t="shared" ref="G29" si="9">G26-G28</f>
        <v>0</v>
      </c>
      <c r="H29" s="49"/>
    </row>
    <row r="31" spans="1:19" x14ac:dyDescent="0.25">
      <c r="C31" s="120"/>
    </row>
    <row r="32" spans="1:19" x14ac:dyDescent="0.25">
      <c r="C32" s="120"/>
      <c r="F32" s="111"/>
      <c r="G32" s="111"/>
    </row>
    <row r="38" spans="1:16" x14ac:dyDescent="0.25">
      <c r="A38" s="116"/>
      <c r="B38" s="179"/>
      <c r="C38" s="179"/>
      <c r="D38" s="179"/>
      <c r="E38" s="179"/>
      <c r="F38" s="179"/>
      <c r="G38" s="179"/>
      <c r="P38" s="179"/>
    </row>
    <row r="39" spans="1:16" x14ac:dyDescent="0.25">
      <c r="A39" s="116"/>
      <c r="B39" s="179"/>
      <c r="C39" s="179"/>
      <c r="D39" s="179"/>
      <c r="E39" s="179"/>
      <c r="F39" s="179"/>
      <c r="G39" s="179"/>
      <c r="P39" s="179"/>
    </row>
    <row r="40" spans="1:16" x14ac:dyDescent="0.25">
      <c r="A40" s="116"/>
      <c r="B40" s="179"/>
      <c r="C40" s="179"/>
      <c r="D40" s="179"/>
      <c r="E40" s="179"/>
      <c r="F40" s="179"/>
      <c r="G40" s="179"/>
      <c r="P40" s="179"/>
    </row>
  </sheetData>
  <mergeCells count="13">
    <mergeCell ref="F5:G5"/>
    <mergeCell ref="H5:N5"/>
    <mergeCell ref="A2:P2"/>
    <mergeCell ref="A3:A4"/>
    <mergeCell ref="B3:B4"/>
    <mergeCell ref="C3:C4"/>
    <mergeCell ref="D3:D4"/>
    <mergeCell ref="E3:E4"/>
    <mergeCell ref="F3:F4"/>
    <mergeCell ref="G3:G4"/>
    <mergeCell ref="H3:M3"/>
    <mergeCell ref="P3:P4"/>
    <mergeCell ref="O3:O4"/>
  </mergeCells>
  <printOptions horizontalCentered="1"/>
  <pageMargins left="0.23622047244094491" right="0.23622047244094491" top="0.35433070866141736" bottom="0.15748031496062992" header="0" footer="0"/>
  <pageSetup paperSize="9" scale="67" orientation="landscape" r:id="rId1"/>
  <colBreaks count="1" manualBreakCount="1">
    <brk id="16" max="104857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/>
  </sheetPr>
  <dimension ref="A1:O3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H11" sqref="H11:J11"/>
    </sheetView>
  </sheetViews>
  <sheetFormatPr defaultRowHeight="15" outlineLevelRow="1" outlineLevelCol="1" x14ac:dyDescent="0.25"/>
  <cols>
    <col min="1" max="1" width="4.42578125" style="207" customWidth="1"/>
    <col min="2" max="2" width="68.42578125" style="48" customWidth="1"/>
    <col min="3" max="3" width="12.85546875" style="48" customWidth="1"/>
    <col min="4" max="4" width="14.5703125" style="48" customWidth="1"/>
    <col min="5" max="5" width="15.28515625" style="48" customWidth="1"/>
    <col min="6" max="6" width="11.5703125" style="48" customWidth="1"/>
    <col min="7" max="7" width="7.42578125" style="116" customWidth="1" outlineLevel="1"/>
    <col min="8" max="8" width="10.7109375" style="116" customWidth="1" outlineLevel="1"/>
    <col min="9" max="9" width="10.5703125" style="116" customWidth="1" outlineLevel="1"/>
    <col min="10" max="10" width="9.42578125" style="116" customWidth="1" outlineLevel="1"/>
    <col min="11" max="11" width="9.140625" style="210" customWidth="1" outlineLevel="1"/>
    <col min="12" max="12" width="11.7109375" style="210" customWidth="1"/>
    <col min="13" max="13" width="29.5703125" style="208" customWidth="1"/>
    <col min="14" max="14" width="11.28515625" style="210" customWidth="1"/>
    <col min="15" max="249" width="9.140625" style="210"/>
    <col min="250" max="250" width="4.42578125" style="210" customWidth="1"/>
    <col min="251" max="251" width="35.140625" style="210" customWidth="1"/>
    <col min="252" max="252" width="12.85546875" style="210" customWidth="1"/>
    <col min="253" max="253" width="14.5703125" style="210" customWidth="1"/>
    <col min="254" max="254" width="15.28515625" style="210" customWidth="1"/>
    <col min="255" max="256" width="0" style="210" hidden="1" customWidth="1"/>
    <col min="257" max="257" width="11.5703125" style="210" customWidth="1"/>
    <col min="258" max="258" width="7.42578125" style="210" customWidth="1"/>
    <col min="259" max="259" width="10.7109375" style="210" customWidth="1"/>
    <col min="260" max="260" width="10.5703125" style="210" customWidth="1"/>
    <col min="261" max="261" width="9.42578125" style="210" customWidth="1"/>
    <col min="262" max="262" width="9.140625" style="210" customWidth="1"/>
    <col min="263" max="263" width="11.7109375" style="210" customWidth="1"/>
    <col min="264" max="264" width="13" style="210" customWidth="1"/>
    <col min="265" max="265" width="11.28515625" style="210" customWidth="1"/>
    <col min="266" max="269" width="0" style="210" hidden="1" customWidth="1"/>
    <col min="270" max="505" width="9.140625" style="210"/>
    <col min="506" max="506" width="4.42578125" style="210" customWidth="1"/>
    <col min="507" max="507" width="35.140625" style="210" customWidth="1"/>
    <col min="508" max="508" width="12.85546875" style="210" customWidth="1"/>
    <col min="509" max="509" width="14.5703125" style="210" customWidth="1"/>
    <col min="510" max="510" width="15.28515625" style="210" customWidth="1"/>
    <col min="511" max="512" width="0" style="210" hidden="1" customWidth="1"/>
    <col min="513" max="513" width="11.5703125" style="210" customWidth="1"/>
    <col min="514" max="514" width="7.42578125" style="210" customWidth="1"/>
    <col min="515" max="515" width="10.7109375" style="210" customWidth="1"/>
    <col min="516" max="516" width="10.5703125" style="210" customWidth="1"/>
    <col min="517" max="517" width="9.42578125" style="210" customWidth="1"/>
    <col min="518" max="518" width="9.140625" style="210" customWidth="1"/>
    <col min="519" max="519" width="11.7109375" style="210" customWidth="1"/>
    <col min="520" max="520" width="13" style="210" customWidth="1"/>
    <col min="521" max="521" width="11.28515625" style="210" customWidth="1"/>
    <col min="522" max="525" width="0" style="210" hidden="1" customWidth="1"/>
    <col min="526" max="761" width="9.140625" style="210"/>
    <col min="762" max="762" width="4.42578125" style="210" customWidth="1"/>
    <col min="763" max="763" width="35.140625" style="210" customWidth="1"/>
    <col min="764" max="764" width="12.85546875" style="210" customWidth="1"/>
    <col min="765" max="765" width="14.5703125" style="210" customWidth="1"/>
    <col min="766" max="766" width="15.28515625" style="210" customWidth="1"/>
    <col min="767" max="768" width="0" style="210" hidden="1" customWidth="1"/>
    <col min="769" max="769" width="11.5703125" style="210" customWidth="1"/>
    <col min="770" max="770" width="7.42578125" style="210" customWidth="1"/>
    <col min="771" max="771" width="10.7109375" style="210" customWidth="1"/>
    <col min="772" max="772" width="10.5703125" style="210" customWidth="1"/>
    <col min="773" max="773" width="9.42578125" style="210" customWidth="1"/>
    <col min="774" max="774" width="9.140625" style="210" customWidth="1"/>
    <col min="775" max="775" width="11.7109375" style="210" customWidth="1"/>
    <col min="776" max="776" width="13" style="210" customWidth="1"/>
    <col min="777" max="777" width="11.28515625" style="210" customWidth="1"/>
    <col min="778" max="781" width="0" style="210" hidden="1" customWidth="1"/>
    <col min="782" max="1017" width="9.140625" style="210"/>
    <col min="1018" max="1018" width="4.42578125" style="210" customWidth="1"/>
    <col min="1019" max="1019" width="35.140625" style="210" customWidth="1"/>
    <col min="1020" max="1020" width="12.85546875" style="210" customWidth="1"/>
    <col min="1021" max="1021" width="14.5703125" style="210" customWidth="1"/>
    <col min="1022" max="1022" width="15.28515625" style="210" customWidth="1"/>
    <col min="1023" max="1024" width="0" style="210" hidden="1" customWidth="1"/>
    <col min="1025" max="1025" width="11.5703125" style="210" customWidth="1"/>
    <col min="1026" max="1026" width="7.42578125" style="210" customWidth="1"/>
    <col min="1027" max="1027" width="10.7109375" style="210" customWidth="1"/>
    <col min="1028" max="1028" width="10.5703125" style="210" customWidth="1"/>
    <col min="1029" max="1029" width="9.42578125" style="210" customWidth="1"/>
    <col min="1030" max="1030" width="9.140625" style="210" customWidth="1"/>
    <col min="1031" max="1031" width="11.7109375" style="210" customWidth="1"/>
    <col min="1032" max="1032" width="13" style="210" customWidth="1"/>
    <col min="1033" max="1033" width="11.28515625" style="210" customWidth="1"/>
    <col min="1034" max="1037" width="0" style="210" hidden="1" customWidth="1"/>
    <col min="1038" max="1273" width="9.140625" style="210"/>
    <col min="1274" max="1274" width="4.42578125" style="210" customWidth="1"/>
    <col min="1275" max="1275" width="35.140625" style="210" customWidth="1"/>
    <col min="1276" max="1276" width="12.85546875" style="210" customWidth="1"/>
    <col min="1277" max="1277" width="14.5703125" style="210" customWidth="1"/>
    <col min="1278" max="1278" width="15.28515625" style="210" customWidth="1"/>
    <col min="1279" max="1280" width="0" style="210" hidden="1" customWidth="1"/>
    <col min="1281" max="1281" width="11.5703125" style="210" customWidth="1"/>
    <col min="1282" max="1282" width="7.42578125" style="210" customWidth="1"/>
    <col min="1283" max="1283" width="10.7109375" style="210" customWidth="1"/>
    <col min="1284" max="1284" width="10.5703125" style="210" customWidth="1"/>
    <col min="1285" max="1285" width="9.42578125" style="210" customWidth="1"/>
    <col min="1286" max="1286" width="9.140625" style="210" customWidth="1"/>
    <col min="1287" max="1287" width="11.7109375" style="210" customWidth="1"/>
    <col min="1288" max="1288" width="13" style="210" customWidth="1"/>
    <col min="1289" max="1289" width="11.28515625" style="210" customWidth="1"/>
    <col min="1290" max="1293" width="0" style="210" hidden="1" customWidth="1"/>
    <col min="1294" max="1529" width="9.140625" style="210"/>
    <col min="1530" max="1530" width="4.42578125" style="210" customWidth="1"/>
    <col min="1531" max="1531" width="35.140625" style="210" customWidth="1"/>
    <col min="1532" max="1532" width="12.85546875" style="210" customWidth="1"/>
    <col min="1533" max="1533" width="14.5703125" style="210" customWidth="1"/>
    <col min="1534" max="1534" width="15.28515625" style="210" customWidth="1"/>
    <col min="1535" max="1536" width="0" style="210" hidden="1" customWidth="1"/>
    <col min="1537" max="1537" width="11.5703125" style="210" customWidth="1"/>
    <col min="1538" max="1538" width="7.42578125" style="210" customWidth="1"/>
    <col min="1539" max="1539" width="10.7109375" style="210" customWidth="1"/>
    <col min="1540" max="1540" width="10.5703125" style="210" customWidth="1"/>
    <col min="1541" max="1541" width="9.42578125" style="210" customWidth="1"/>
    <col min="1542" max="1542" width="9.140625" style="210" customWidth="1"/>
    <col min="1543" max="1543" width="11.7109375" style="210" customWidth="1"/>
    <col min="1544" max="1544" width="13" style="210" customWidth="1"/>
    <col min="1545" max="1545" width="11.28515625" style="210" customWidth="1"/>
    <col min="1546" max="1549" width="0" style="210" hidden="1" customWidth="1"/>
    <col min="1550" max="1785" width="9.140625" style="210"/>
    <col min="1786" max="1786" width="4.42578125" style="210" customWidth="1"/>
    <col min="1787" max="1787" width="35.140625" style="210" customWidth="1"/>
    <col min="1788" max="1788" width="12.85546875" style="210" customWidth="1"/>
    <col min="1789" max="1789" width="14.5703125" style="210" customWidth="1"/>
    <col min="1790" max="1790" width="15.28515625" style="210" customWidth="1"/>
    <col min="1791" max="1792" width="0" style="210" hidden="1" customWidth="1"/>
    <col min="1793" max="1793" width="11.5703125" style="210" customWidth="1"/>
    <col min="1794" max="1794" width="7.42578125" style="210" customWidth="1"/>
    <col min="1795" max="1795" width="10.7109375" style="210" customWidth="1"/>
    <col min="1796" max="1796" width="10.5703125" style="210" customWidth="1"/>
    <col min="1797" max="1797" width="9.42578125" style="210" customWidth="1"/>
    <col min="1798" max="1798" width="9.140625" style="210" customWidth="1"/>
    <col min="1799" max="1799" width="11.7109375" style="210" customWidth="1"/>
    <col min="1800" max="1800" width="13" style="210" customWidth="1"/>
    <col min="1801" max="1801" width="11.28515625" style="210" customWidth="1"/>
    <col min="1802" max="1805" width="0" style="210" hidden="1" customWidth="1"/>
    <col min="1806" max="2041" width="9.140625" style="210"/>
    <col min="2042" max="2042" width="4.42578125" style="210" customWidth="1"/>
    <col min="2043" max="2043" width="35.140625" style="210" customWidth="1"/>
    <col min="2044" max="2044" width="12.85546875" style="210" customWidth="1"/>
    <col min="2045" max="2045" width="14.5703125" style="210" customWidth="1"/>
    <col min="2046" max="2046" width="15.28515625" style="210" customWidth="1"/>
    <col min="2047" max="2048" width="0" style="210" hidden="1" customWidth="1"/>
    <col min="2049" max="2049" width="11.5703125" style="210" customWidth="1"/>
    <col min="2050" max="2050" width="7.42578125" style="210" customWidth="1"/>
    <col min="2051" max="2051" width="10.7109375" style="210" customWidth="1"/>
    <col min="2052" max="2052" width="10.5703125" style="210" customWidth="1"/>
    <col min="2053" max="2053" width="9.42578125" style="210" customWidth="1"/>
    <col min="2054" max="2054" width="9.140625" style="210" customWidth="1"/>
    <col min="2055" max="2055" width="11.7109375" style="210" customWidth="1"/>
    <col min="2056" max="2056" width="13" style="210" customWidth="1"/>
    <col min="2057" max="2057" width="11.28515625" style="210" customWidth="1"/>
    <col min="2058" max="2061" width="0" style="210" hidden="1" customWidth="1"/>
    <col min="2062" max="2297" width="9.140625" style="210"/>
    <col min="2298" max="2298" width="4.42578125" style="210" customWidth="1"/>
    <col min="2299" max="2299" width="35.140625" style="210" customWidth="1"/>
    <col min="2300" max="2300" width="12.85546875" style="210" customWidth="1"/>
    <col min="2301" max="2301" width="14.5703125" style="210" customWidth="1"/>
    <col min="2302" max="2302" width="15.28515625" style="210" customWidth="1"/>
    <col min="2303" max="2304" width="0" style="210" hidden="1" customWidth="1"/>
    <col min="2305" max="2305" width="11.5703125" style="210" customWidth="1"/>
    <col min="2306" max="2306" width="7.42578125" style="210" customWidth="1"/>
    <col min="2307" max="2307" width="10.7109375" style="210" customWidth="1"/>
    <col min="2308" max="2308" width="10.5703125" style="210" customWidth="1"/>
    <col min="2309" max="2309" width="9.42578125" style="210" customWidth="1"/>
    <col min="2310" max="2310" width="9.140625" style="210" customWidth="1"/>
    <col min="2311" max="2311" width="11.7109375" style="210" customWidth="1"/>
    <col min="2312" max="2312" width="13" style="210" customWidth="1"/>
    <col min="2313" max="2313" width="11.28515625" style="210" customWidth="1"/>
    <col min="2314" max="2317" width="0" style="210" hidden="1" customWidth="1"/>
    <col min="2318" max="2553" width="9.140625" style="210"/>
    <col min="2554" max="2554" width="4.42578125" style="210" customWidth="1"/>
    <col min="2555" max="2555" width="35.140625" style="210" customWidth="1"/>
    <col min="2556" max="2556" width="12.85546875" style="210" customWidth="1"/>
    <col min="2557" max="2557" width="14.5703125" style="210" customWidth="1"/>
    <col min="2558" max="2558" width="15.28515625" style="210" customWidth="1"/>
    <col min="2559" max="2560" width="0" style="210" hidden="1" customWidth="1"/>
    <col min="2561" max="2561" width="11.5703125" style="210" customWidth="1"/>
    <col min="2562" max="2562" width="7.42578125" style="210" customWidth="1"/>
    <col min="2563" max="2563" width="10.7109375" style="210" customWidth="1"/>
    <col min="2564" max="2564" width="10.5703125" style="210" customWidth="1"/>
    <col min="2565" max="2565" width="9.42578125" style="210" customWidth="1"/>
    <col min="2566" max="2566" width="9.140625" style="210" customWidth="1"/>
    <col min="2567" max="2567" width="11.7109375" style="210" customWidth="1"/>
    <col min="2568" max="2568" width="13" style="210" customWidth="1"/>
    <col min="2569" max="2569" width="11.28515625" style="210" customWidth="1"/>
    <col min="2570" max="2573" width="0" style="210" hidden="1" customWidth="1"/>
    <col min="2574" max="2809" width="9.140625" style="210"/>
    <col min="2810" max="2810" width="4.42578125" style="210" customWidth="1"/>
    <col min="2811" max="2811" width="35.140625" style="210" customWidth="1"/>
    <col min="2812" max="2812" width="12.85546875" style="210" customWidth="1"/>
    <col min="2813" max="2813" width="14.5703125" style="210" customWidth="1"/>
    <col min="2814" max="2814" width="15.28515625" style="210" customWidth="1"/>
    <col min="2815" max="2816" width="0" style="210" hidden="1" customWidth="1"/>
    <col min="2817" max="2817" width="11.5703125" style="210" customWidth="1"/>
    <col min="2818" max="2818" width="7.42578125" style="210" customWidth="1"/>
    <col min="2819" max="2819" width="10.7109375" style="210" customWidth="1"/>
    <col min="2820" max="2820" width="10.5703125" style="210" customWidth="1"/>
    <col min="2821" max="2821" width="9.42578125" style="210" customWidth="1"/>
    <col min="2822" max="2822" width="9.140625" style="210" customWidth="1"/>
    <col min="2823" max="2823" width="11.7109375" style="210" customWidth="1"/>
    <col min="2824" max="2824" width="13" style="210" customWidth="1"/>
    <col min="2825" max="2825" width="11.28515625" style="210" customWidth="1"/>
    <col min="2826" max="2829" width="0" style="210" hidden="1" customWidth="1"/>
    <col min="2830" max="3065" width="9.140625" style="210"/>
    <col min="3066" max="3066" width="4.42578125" style="210" customWidth="1"/>
    <col min="3067" max="3067" width="35.140625" style="210" customWidth="1"/>
    <col min="3068" max="3068" width="12.85546875" style="210" customWidth="1"/>
    <col min="3069" max="3069" width="14.5703125" style="210" customWidth="1"/>
    <col min="3070" max="3070" width="15.28515625" style="210" customWidth="1"/>
    <col min="3071" max="3072" width="0" style="210" hidden="1" customWidth="1"/>
    <col min="3073" max="3073" width="11.5703125" style="210" customWidth="1"/>
    <col min="3074" max="3074" width="7.42578125" style="210" customWidth="1"/>
    <col min="3075" max="3075" width="10.7109375" style="210" customWidth="1"/>
    <col min="3076" max="3076" width="10.5703125" style="210" customWidth="1"/>
    <col min="3077" max="3077" width="9.42578125" style="210" customWidth="1"/>
    <col min="3078" max="3078" width="9.140625" style="210" customWidth="1"/>
    <col min="3079" max="3079" width="11.7109375" style="210" customWidth="1"/>
    <col min="3080" max="3080" width="13" style="210" customWidth="1"/>
    <col min="3081" max="3081" width="11.28515625" style="210" customWidth="1"/>
    <col min="3082" max="3085" width="0" style="210" hidden="1" customWidth="1"/>
    <col min="3086" max="3321" width="9.140625" style="210"/>
    <col min="3322" max="3322" width="4.42578125" style="210" customWidth="1"/>
    <col min="3323" max="3323" width="35.140625" style="210" customWidth="1"/>
    <col min="3324" max="3324" width="12.85546875" style="210" customWidth="1"/>
    <col min="3325" max="3325" width="14.5703125" style="210" customWidth="1"/>
    <col min="3326" max="3326" width="15.28515625" style="210" customWidth="1"/>
    <col min="3327" max="3328" width="0" style="210" hidden="1" customWidth="1"/>
    <col min="3329" max="3329" width="11.5703125" style="210" customWidth="1"/>
    <col min="3330" max="3330" width="7.42578125" style="210" customWidth="1"/>
    <col min="3331" max="3331" width="10.7109375" style="210" customWidth="1"/>
    <col min="3332" max="3332" width="10.5703125" style="210" customWidth="1"/>
    <col min="3333" max="3333" width="9.42578125" style="210" customWidth="1"/>
    <col min="3334" max="3334" width="9.140625" style="210" customWidth="1"/>
    <col min="3335" max="3335" width="11.7109375" style="210" customWidth="1"/>
    <col min="3336" max="3336" width="13" style="210" customWidth="1"/>
    <col min="3337" max="3337" width="11.28515625" style="210" customWidth="1"/>
    <col min="3338" max="3341" width="0" style="210" hidden="1" customWidth="1"/>
    <col min="3342" max="3577" width="9.140625" style="210"/>
    <col min="3578" max="3578" width="4.42578125" style="210" customWidth="1"/>
    <col min="3579" max="3579" width="35.140625" style="210" customWidth="1"/>
    <col min="3580" max="3580" width="12.85546875" style="210" customWidth="1"/>
    <col min="3581" max="3581" width="14.5703125" style="210" customWidth="1"/>
    <col min="3582" max="3582" width="15.28515625" style="210" customWidth="1"/>
    <col min="3583" max="3584" width="0" style="210" hidden="1" customWidth="1"/>
    <col min="3585" max="3585" width="11.5703125" style="210" customWidth="1"/>
    <col min="3586" max="3586" width="7.42578125" style="210" customWidth="1"/>
    <col min="3587" max="3587" width="10.7109375" style="210" customWidth="1"/>
    <col min="3588" max="3588" width="10.5703125" style="210" customWidth="1"/>
    <col min="3589" max="3589" width="9.42578125" style="210" customWidth="1"/>
    <col min="3590" max="3590" width="9.140625" style="210" customWidth="1"/>
    <col min="3591" max="3591" width="11.7109375" style="210" customWidth="1"/>
    <col min="3592" max="3592" width="13" style="210" customWidth="1"/>
    <col min="3593" max="3593" width="11.28515625" style="210" customWidth="1"/>
    <col min="3594" max="3597" width="0" style="210" hidden="1" customWidth="1"/>
    <col min="3598" max="3833" width="9.140625" style="210"/>
    <col min="3834" max="3834" width="4.42578125" style="210" customWidth="1"/>
    <col min="3835" max="3835" width="35.140625" style="210" customWidth="1"/>
    <col min="3836" max="3836" width="12.85546875" style="210" customWidth="1"/>
    <col min="3837" max="3837" width="14.5703125" style="210" customWidth="1"/>
    <col min="3838" max="3838" width="15.28515625" style="210" customWidth="1"/>
    <col min="3839" max="3840" width="0" style="210" hidden="1" customWidth="1"/>
    <col min="3841" max="3841" width="11.5703125" style="210" customWidth="1"/>
    <col min="3842" max="3842" width="7.42578125" style="210" customWidth="1"/>
    <col min="3843" max="3843" width="10.7109375" style="210" customWidth="1"/>
    <col min="3844" max="3844" width="10.5703125" style="210" customWidth="1"/>
    <col min="3845" max="3845" width="9.42578125" style="210" customWidth="1"/>
    <col min="3846" max="3846" width="9.140625" style="210" customWidth="1"/>
    <col min="3847" max="3847" width="11.7109375" style="210" customWidth="1"/>
    <col min="3848" max="3848" width="13" style="210" customWidth="1"/>
    <col min="3849" max="3849" width="11.28515625" style="210" customWidth="1"/>
    <col min="3850" max="3853" width="0" style="210" hidden="1" customWidth="1"/>
    <col min="3854" max="4089" width="9.140625" style="210"/>
    <col min="4090" max="4090" width="4.42578125" style="210" customWidth="1"/>
    <col min="4091" max="4091" width="35.140625" style="210" customWidth="1"/>
    <col min="4092" max="4092" width="12.85546875" style="210" customWidth="1"/>
    <col min="4093" max="4093" width="14.5703125" style="210" customWidth="1"/>
    <col min="4094" max="4094" width="15.28515625" style="210" customWidth="1"/>
    <col min="4095" max="4096" width="0" style="210" hidden="1" customWidth="1"/>
    <col min="4097" max="4097" width="11.5703125" style="210" customWidth="1"/>
    <col min="4098" max="4098" width="7.42578125" style="210" customWidth="1"/>
    <col min="4099" max="4099" width="10.7109375" style="210" customWidth="1"/>
    <col min="4100" max="4100" width="10.5703125" style="210" customWidth="1"/>
    <col min="4101" max="4101" width="9.42578125" style="210" customWidth="1"/>
    <col min="4102" max="4102" width="9.140625" style="210" customWidth="1"/>
    <col min="4103" max="4103" width="11.7109375" style="210" customWidth="1"/>
    <col min="4104" max="4104" width="13" style="210" customWidth="1"/>
    <col min="4105" max="4105" width="11.28515625" style="210" customWidth="1"/>
    <col min="4106" max="4109" width="0" style="210" hidden="1" customWidth="1"/>
    <col min="4110" max="4345" width="9.140625" style="210"/>
    <col min="4346" max="4346" width="4.42578125" style="210" customWidth="1"/>
    <col min="4347" max="4347" width="35.140625" style="210" customWidth="1"/>
    <col min="4348" max="4348" width="12.85546875" style="210" customWidth="1"/>
    <col min="4349" max="4349" width="14.5703125" style="210" customWidth="1"/>
    <col min="4350" max="4350" width="15.28515625" style="210" customWidth="1"/>
    <col min="4351" max="4352" width="0" style="210" hidden="1" customWidth="1"/>
    <col min="4353" max="4353" width="11.5703125" style="210" customWidth="1"/>
    <col min="4354" max="4354" width="7.42578125" style="210" customWidth="1"/>
    <col min="4355" max="4355" width="10.7109375" style="210" customWidth="1"/>
    <col min="4356" max="4356" width="10.5703125" style="210" customWidth="1"/>
    <col min="4357" max="4357" width="9.42578125" style="210" customWidth="1"/>
    <col min="4358" max="4358" width="9.140625" style="210" customWidth="1"/>
    <col min="4359" max="4359" width="11.7109375" style="210" customWidth="1"/>
    <col min="4360" max="4360" width="13" style="210" customWidth="1"/>
    <col min="4361" max="4361" width="11.28515625" style="210" customWidth="1"/>
    <col min="4362" max="4365" width="0" style="210" hidden="1" customWidth="1"/>
    <col min="4366" max="4601" width="9.140625" style="210"/>
    <col min="4602" max="4602" width="4.42578125" style="210" customWidth="1"/>
    <col min="4603" max="4603" width="35.140625" style="210" customWidth="1"/>
    <col min="4604" max="4604" width="12.85546875" style="210" customWidth="1"/>
    <col min="4605" max="4605" width="14.5703125" style="210" customWidth="1"/>
    <col min="4606" max="4606" width="15.28515625" style="210" customWidth="1"/>
    <col min="4607" max="4608" width="0" style="210" hidden="1" customWidth="1"/>
    <col min="4609" max="4609" width="11.5703125" style="210" customWidth="1"/>
    <col min="4610" max="4610" width="7.42578125" style="210" customWidth="1"/>
    <col min="4611" max="4611" width="10.7109375" style="210" customWidth="1"/>
    <col min="4612" max="4612" width="10.5703125" style="210" customWidth="1"/>
    <col min="4613" max="4613" width="9.42578125" style="210" customWidth="1"/>
    <col min="4614" max="4614" width="9.140625" style="210" customWidth="1"/>
    <col min="4615" max="4615" width="11.7109375" style="210" customWidth="1"/>
    <col min="4616" max="4616" width="13" style="210" customWidth="1"/>
    <col min="4617" max="4617" width="11.28515625" style="210" customWidth="1"/>
    <col min="4618" max="4621" width="0" style="210" hidden="1" customWidth="1"/>
    <col min="4622" max="4857" width="9.140625" style="210"/>
    <col min="4858" max="4858" width="4.42578125" style="210" customWidth="1"/>
    <col min="4859" max="4859" width="35.140625" style="210" customWidth="1"/>
    <col min="4860" max="4860" width="12.85546875" style="210" customWidth="1"/>
    <col min="4861" max="4861" width="14.5703125" style="210" customWidth="1"/>
    <col min="4862" max="4862" width="15.28515625" style="210" customWidth="1"/>
    <col min="4863" max="4864" width="0" style="210" hidden="1" customWidth="1"/>
    <col min="4865" max="4865" width="11.5703125" style="210" customWidth="1"/>
    <col min="4866" max="4866" width="7.42578125" style="210" customWidth="1"/>
    <col min="4867" max="4867" width="10.7109375" style="210" customWidth="1"/>
    <col min="4868" max="4868" width="10.5703125" style="210" customWidth="1"/>
    <col min="4869" max="4869" width="9.42578125" style="210" customWidth="1"/>
    <col min="4870" max="4870" width="9.140625" style="210" customWidth="1"/>
    <col min="4871" max="4871" width="11.7109375" style="210" customWidth="1"/>
    <col min="4872" max="4872" width="13" style="210" customWidth="1"/>
    <col min="4873" max="4873" width="11.28515625" style="210" customWidth="1"/>
    <col min="4874" max="4877" width="0" style="210" hidden="1" customWidth="1"/>
    <col min="4878" max="5113" width="9.140625" style="210"/>
    <col min="5114" max="5114" width="4.42578125" style="210" customWidth="1"/>
    <col min="5115" max="5115" width="35.140625" style="210" customWidth="1"/>
    <col min="5116" max="5116" width="12.85546875" style="210" customWidth="1"/>
    <col min="5117" max="5117" width="14.5703125" style="210" customWidth="1"/>
    <col min="5118" max="5118" width="15.28515625" style="210" customWidth="1"/>
    <col min="5119" max="5120" width="0" style="210" hidden="1" customWidth="1"/>
    <col min="5121" max="5121" width="11.5703125" style="210" customWidth="1"/>
    <col min="5122" max="5122" width="7.42578125" style="210" customWidth="1"/>
    <col min="5123" max="5123" width="10.7109375" style="210" customWidth="1"/>
    <col min="5124" max="5124" width="10.5703125" style="210" customWidth="1"/>
    <col min="5125" max="5125" width="9.42578125" style="210" customWidth="1"/>
    <col min="5126" max="5126" width="9.140625" style="210" customWidth="1"/>
    <col min="5127" max="5127" width="11.7109375" style="210" customWidth="1"/>
    <col min="5128" max="5128" width="13" style="210" customWidth="1"/>
    <col min="5129" max="5129" width="11.28515625" style="210" customWidth="1"/>
    <col min="5130" max="5133" width="0" style="210" hidden="1" customWidth="1"/>
    <col min="5134" max="5369" width="9.140625" style="210"/>
    <col min="5370" max="5370" width="4.42578125" style="210" customWidth="1"/>
    <col min="5371" max="5371" width="35.140625" style="210" customWidth="1"/>
    <col min="5372" max="5372" width="12.85546875" style="210" customWidth="1"/>
    <col min="5373" max="5373" width="14.5703125" style="210" customWidth="1"/>
    <col min="5374" max="5374" width="15.28515625" style="210" customWidth="1"/>
    <col min="5375" max="5376" width="0" style="210" hidden="1" customWidth="1"/>
    <col min="5377" max="5377" width="11.5703125" style="210" customWidth="1"/>
    <col min="5378" max="5378" width="7.42578125" style="210" customWidth="1"/>
    <col min="5379" max="5379" width="10.7109375" style="210" customWidth="1"/>
    <col min="5380" max="5380" width="10.5703125" style="210" customWidth="1"/>
    <col min="5381" max="5381" width="9.42578125" style="210" customWidth="1"/>
    <col min="5382" max="5382" width="9.140625" style="210" customWidth="1"/>
    <col min="5383" max="5383" width="11.7109375" style="210" customWidth="1"/>
    <col min="5384" max="5384" width="13" style="210" customWidth="1"/>
    <col min="5385" max="5385" width="11.28515625" style="210" customWidth="1"/>
    <col min="5386" max="5389" width="0" style="210" hidden="1" customWidth="1"/>
    <col min="5390" max="5625" width="9.140625" style="210"/>
    <col min="5626" max="5626" width="4.42578125" style="210" customWidth="1"/>
    <col min="5627" max="5627" width="35.140625" style="210" customWidth="1"/>
    <col min="5628" max="5628" width="12.85546875" style="210" customWidth="1"/>
    <col min="5629" max="5629" width="14.5703125" style="210" customWidth="1"/>
    <col min="5630" max="5630" width="15.28515625" style="210" customWidth="1"/>
    <col min="5631" max="5632" width="0" style="210" hidden="1" customWidth="1"/>
    <col min="5633" max="5633" width="11.5703125" style="210" customWidth="1"/>
    <col min="5634" max="5634" width="7.42578125" style="210" customWidth="1"/>
    <col min="5635" max="5635" width="10.7109375" style="210" customWidth="1"/>
    <col min="5636" max="5636" width="10.5703125" style="210" customWidth="1"/>
    <col min="5637" max="5637" width="9.42578125" style="210" customWidth="1"/>
    <col min="5638" max="5638" width="9.140625" style="210" customWidth="1"/>
    <col min="5639" max="5639" width="11.7109375" style="210" customWidth="1"/>
    <col min="5640" max="5640" width="13" style="210" customWidth="1"/>
    <col min="5641" max="5641" width="11.28515625" style="210" customWidth="1"/>
    <col min="5642" max="5645" width="0" style="210" hidden="1" customWidth="1"/>
    <col min="5646" max="5881" width="9.140625" style="210"/>
    <col min="5882" max="5882" width="4.42578125" style="210" customWidth="1"/>
    <col min="5883" max="5883" width="35.140625" style="210" customWidth="1"/>
    <col min="5884" max="5884" width="12.85546875" style="210" customWidth="1"/>
    <col min="5885" max="5885" width="14.5703125" style="210" customWidth="1"/>
    <col min="5886" max="5886" width="15.28515625" style="210" customWidth="1"/>
    <col min="5887" max="5888" width="0" style="210" hidden="1" customWidth="1"/>
    <col min="5889" max="5889" width="11.5703125" style="210" customWidth="1"/>
    <col min="5890" max="5890" width="7.42578125" style="210" customWidth="1"/>
    <col min="5891" max="5891" width="10.7109375" style="210" customWidth="1"/>
    <col min="5892" max="5892" width="10.5703125" style="210" customWidth="1"/>
    <col min="5893" max="5893" width="9.42578125" style="210" customWidth="1"/>
    <col min="5894" max="5894" width="9.140625" style="210" customWidth="1"/>
    <col min="5895" max="5895" width="11.7109375" style="210" customWidth="1"/>
    <col min="5896" max="5896" width="13" style="210" customWidth="1"/>
    <col min="5897" max="5897" width="11.28515625" style="210" customWidth="1"/>
    <col min="5898" max="5901" width="0" style="210" hidden="1" customWidth="1"/>
    <col min="5902" max="6137" width="9.140625" style="210"/>
    <col min="6138" max="6138" width="4.42578125" style="210" customWidth="1"/>
    <col min="6139" max="6139" width="35.140625" style="210" customWidth="1"/>
    <col min="6140" max="6140" width="12.85546875" style="210" customWidth="1"/>
    <col min="6141" max="6141" width="14.5703125" style="210" customWidth="1"/>
    <col min="6142" max="6142" width="15.28515625" style="210" customWidth="1"/>
    <col min="6143" max="6144" width="0" style="210" hidden="1" customWidth="1"/>
    <col min="6145" max="6145" width="11.5703125" style="210" customWidth="1"/>
    <col min="6146" max="6146" width="7.42578125" style="210" customWidth="1"/>
    <col min="6147" max="6147" width="10.7109375" style="210" customWidth="1"/>
    <col min="6148" max="6148" width="10.5703125" style="210" customWidth="1"/>
    <col min="6149" max="6149" width="9.42578125" style="210" customWidth="1"/>
    <col min="6150" max="6150" width="9.140625" style="210" customWidth="1"/>
    <col min="6151" max="6151" width="11.7109375" style="210" customWidth="1"/>
    <col min="6152" max="6152" width="13" style="210" customWidth="1"/>
    <col min="6153" max="6153" width="11.28515625" style="210" customWidth="1"/>
    <col min="6154" max="6157" width="0" style="210" hidden="1" customWidth="1"/>
    <col min="6158" max="6393" width="9.140625" style="210"/>
    <col min="6394" max="6394" width="4.42578125" style="210" customWidth="1"/>
    <col min="6395" max="6395" width="35.140625" style="210" customWidth="1"/>
    <col min="6396" max="6396" width="12.85546875" style="210" customWidth="1"/>
    <col min="6397" max="6397" width="14.5703125" style="210" customWidth="1"/>
    <col min="6398" max="6398" width="15.28515625" style="210" customWidth="1"/>
    <col min="6399" max="6400" width="0" style="210" hidden="1" customWidth="1"/>
    <col min="6401" max="6401" width="11.5703125" style="210" customWidth="1"/>
    <col min="6402" max="6402" width="7.42578125" style="210" customWidth="1"/>
    <col min="6403" max="6403" width="10.7109375" style="210" customWidth="1"/>
    <col min="6404" max="6404" width="10.5703125" style="210" customWidth="1"/>
    <col min="6405" max="6405" width="9.42578125" style="210" customWidth="1"/>
    <col min="6406" max="6406" width="9.140625" style="210" customWidth="1"/>
    <col min="6407" max="6407" width="11.7109375" style="210" customWidth="1"/>
    <col min="6408" max="6408" width="13" style="210" customWidth="1"/>
    <col min="6409" max="6409" width="11.28515625" style="210" customWidth="1"/>
    <col min="6410" max="6413" width="0" style="210" hidden="1" customWidth="1"/>
    <col min="6414" max="6649" width="9.140625" style="210"/>
    <col min="6650" max="6650" width="4.42578125" style="210" customWidth="1"/>
    <col min="6651" max="6651" width="35.140625" style="210" customWidth="1"/>
    <col min="6652" max="6652" width="12.85546875" style="210" customWidth="1"/>
    <col min="6653" max="6653" width="14.5703125" style="210" customWidth="1"/>
    <col min="6654" max="6654" width="15.28515625" style="210" customWidth="1"/>
    <col min="6655" max="6656" width="0" style="210" hidden="1" customWidth="1"/>
    <col min="6657" max="6657" width="11.5703125" style="210" customWidth="1"/>
    <col min="6658" max="6658" width="7.42578125" style="210" customWidth="1"/>
    <col min="6659" max="6659" width="10.7109375" style="210" customWidth="1"/>
    <col min="6660" max="6660" width="10.5703125" style="210" customWidth="1"/>
    <col min="6661" max="6661" width="9.42578125" style="210" customWidth="1"/>
    <col min="6662" max="6662" width="9.140625" style="210" customWidth="1"/>
    <col min="6663" max="6663" width="11.7109375" style="210" customWidth="1"/>
    <col min="6664" max="6664" width="13" style="210" customWidth="1"/>
    <col min="6665" max="6665" width="11.28515625" style="210" customWidth="1"/>
    <col min="6666" max="6669" width="0" style="210" hidden="1" customWidth="1"/>
    <col min="6670" max="6905" width="9.140625" style="210"/>
    <col min="6906" max="6906" width="4.42578125" style="210" customWidth="1"/>
    <col min="6907" max="6907" width="35.140625" style="210" customWidth="1"/>
    <col min="6908" max="6908" width="12.85546875" style="210" customWidth="1"/>
    <col min="6909" max="6909" width="14.5703125" style="210" customWidth="1"/>
    <col min="6910" max="6910" width="15.28515625" style="210" customWidth="1"/>
    <col min="6911" max="6912" width="0" style="210" hidden="1" customWidth="1"/>
    <col min="6913" max="6913" width="11.5703125" style="210" customWidth="1"/>
    <col min="6914" max="6914" width="7.42578125" style="210" customWidth="1"/>
    <col min="6915" max="6915" width="10.7109375" style="210" customWidth="1"/>
    <col min="6916" max="6916" width="10.5703125" style="210" customWidth="1"/>
    <col min="6917" max="6917" width="9.42578125" style="210" customWidth="1"/>
    <col min="6918" max="6918" width="9.140625" style="210" customWidth="1"/>
    <col min="6919" max="6919" width="11.7109375" style="210" customWidth="1"/>
    <col min="6920" max="6920" width="13" style="210" customWidth="1"/>
    <col min="6921" max="6921" width="11.28515625" style="210" customWidth="1"/>
    <col min="6922" max="6925" width="0" style="210" hidden="1" customWidth="1"/>
    <col min="6926" max="7161" width="9.140625" style="210"/>
    <col min="7162" max="7162" width="4.42578125" style="210" customWidth="1"/>
    <col min="7163" max="7163" width="35.140625" style="210" customWidth="1"/>
    <col min="7164" max="7164" width="12.85546875" style="210" customWidth="1"/>
    <col min="7165" max="7165" width="14.5703125" style="210" customWidth="1"/>
    <col min="7166" max="7166" width="15.28515625" style="210" customWidth="1"/>
    <col min="7167" max="7168" width="0" style="210" hidden="1" customWidth="1"/>
    <col min="7169" max="7169" width="11.5703125" style="210" customWidth="1"/>
    <col min="7170" max="7170" width="7.42578125" style="210" customWidth="1"/>
    <col min="7171" max="7171" width="10.7109375" style="210" customWidth="1"/>
    <col min="7172" max="7172" width="10.5703125" style="210" customWidth="1"/>
    <col min="7173" max="7173" width="9.42578125" style="210" customWidth="1"/>
    <col min="7174" max="7174" width="9.140625" style="210" customWidth="1"/>
    <col min="7175" max="7175" width="11.7109375" style="210" customWidth="1"/>
    <col min="7176" max="7176" width="13" style="210" customWidth="1"/>
    <col min="7177" max="7177" width="11.28515625" style="210" customWidth="1"/>
    <col min="7178" max="7181" width="0" style="210" hidden="1" customWidth="1"/>
    <col min="7182" max="7417" width="9.140625" style="210"/>
    <col min="7418" max="7418" width="4.42578125" style="210" customWidth="1"/>
    <col min="7419" max="7419" width="35.140625" style="210" customWidth="1"/>
    <col min="7420" max="7420" width="12.85546875" style="210" customWidth="1"/>
    <col min="7421" max="7421" width="14.5703125" style="210" customWidth="1"/>
    <col min="7422" max="7422" width="15.28515625" style="210" customWidth="1"/>
    <col min="7423" max="7424" width="0" style="210" hidden="1" customWidth="1"/>
    <col min="7425" max="7425" width="11.5703125" style="210" customWidth="1"/>
    <col min="7426" max="7426" width="7.42578125" style="210" customWidth="1"/>
    <col min="7427" max="7427" width="10.7109375" style="210" customWidth="1"/>
    <col min="7428" max="7428" width="10.5703125" style="210" customWidth="1"/>
    <col min="7429" max="7429" width="9.42578125" style="210" customWidth="1"/>
    <col min="7430" max="7430" width="9.140625" style="210" customWidth="1"/>
    <col min="7431" max="7431" width="11.7109375" style="210" customWidth="1"/>
    <col min="7432" max="7432" width="13" style="210" customWidth="1"/>
    <col min="7433" max="7433" width="11.28515625" style="210" customWidth="1"/>
    <col min="7434" max="7437" width="0" style="210" hidden="1" customWidth="1"/>
    <col min="7438" max="7673" width="9.140625" style="210"/>
    <col min="7674" max="7674" width="4.42578125" style="210" customWidth="1"/>
    <col min="7675" max="7675" width="35.140625" style="210" customWidth="1"/>
    <col min="7676" max="7676" width="12.85546875" style="210" customWidth="1"/>
    <col min="7677" max="7677" width="14.5703125" style="210" customWidth="1"/>
    <col min="7678" max="7678" width="15.28515625" style="210" customWidth="1"/>
    <col min="7679" max="7680" width="0" style="210" hidden="1" customWidth="1"/>
    <col min="7681" max="7681" width="11.5703125" style="210" customWidth="1"/>
    <col min="7682" max="7682" width="7.42578125" style="210" customWidth="1"/>
    <col min="7683" max="7683" width="10.7109375" style="210" customWidth="1"/>
    <col min="7684" max="7684" width="10.5703125" style="210" customWidth="1"/>
    <col min="7685" max="7685" width="9.42578125" style="210" customWidth="1"/>
    <col min="7686" max="7686" width="9.140625" style="210" customWidth="1"/>
    <col min="7687" max="7687" width="11.7109375" style="210" customWidth="1"/>
    <col min="7688" max="7688" width="13" style="210" customWidth="1"/>
    <col min="7689" max="7689" width="11.28515625" style="210" customWidth="1"/>
    <col min="7690" max="7693" width="0" style="210" hidden="1" customWidth="1"/>
    <col min="7694" max="7929" width="9.140625" style="210"/>
    <col min="7930" max="7930" width="4.42578125" style="210" customWidth="1"/>
    <col min="7931" max="7931" width="35.140625" style="210" customWidth="1"/>
    <col min="7932" max="7932" width="12.85546875" style="210" customWidth="1"/>
    <col min="7933" max="7933" width="14.5703125" style="210" customWidth="1"/>
    <col min="7934" max="7934" width="15.28515625" style="210" customWidth="1"/>
    <col min="7935" max="7936" width="0" style="210" hidden="1" customWidth="1"/>
    <col min="7937" max="7937" width="11.5703125" style="210" customWidth="1"/>
    <col min="7938" max="7938" width="7.42578125" style="210" customWidth="1"/>
    <col min="7939" max="7939" width="10.7109375" style="210" customWidth="1"/>
    <col min="7940" max="7940" width="10.5703125" style="210" customWidth="1"/>
    <col min="7941" max="7941" width="9.42578125" style="210" customWidth="1"/>
    <col min="7942" max="7942" width="9.140625" style="210" customWidth="1"/>
    <col min="7943" max="7943" width="11.7109375" style="210" customWidth="1"/>
    <col min="7944" max="7944" width="13" style="210" customWidth="1"/>
    <col min="7945" max="7945" width="11.28515625" style="210" customWidth="1"/>
    <col min="7946" max="7949" width="0" style="210" hidden="1" customWidth="1"/>
    <col min="7950" max="8185" width="9.140625" style="210"/>
    <col min="8186" max="8186" width="4.42578125" style="210" customWidth="1"/>
    <col min="8187" max="8187" width="35.140625" style="210" customWidth="1"/>
    <col min="8188" max="8188" width="12.85546875" style="210" customWidth="1"/>
    <col min="8189" max="8189" width="14.5703125" style="210" customWidth="1"/>
    <col min="8190" max="8190" width="15.28515625" style="210" customWidth="1"/>
    <col min="8191" max="8192" width="0" style="210" hidden="1" customWidth="1"/>
    <col min="8193" max="8193" width="11.5703125" style="210" customWidth="1"/>
    <col min="8194" max="8194" width="7.42578125" style="210" customWidth="1"/>
    <col min="8195" max="8195" width="10.7109375" style="210" customWidth="1"/>
    <col min="8196" max="8196" width="10.5703125" style="210" customWidth="1"/>
    <col min="8197" max="8197" width="9.42578125" style="210" customWidth="1"/>
    <col min="8198" max="8198" width="9.140625" style="210" customWidth="1"/>
    <col min="8199" max="8199" width="11.7109375" style="210" customWidth="1"/>
    <col min="8200" max="8200" width="13" style="210" customWidth="1"/>
    <col min="8201" max="8201" width="11.28515625" style="210" customWidth="1"/>
    <col min="8202" max="8205" width="0" style="210" hidden="1" customWidth="1"/>
    <col min="8206" max="8441" width="9.140625" style="210"/>
    <col min="8442" max="8442" width="4.42578125" style="210" customWidth="1"/>
    <col min="8443" max="8443" width="35.140625" style="210" customWidth="1"/>
    <col min="8444" max="8444" width="12.85546875" style="210" customWidth="1"/>
    <col min="8445" max="8445" width="14.5703125" style="210" customWidth="1"/>
    <col min="8446" max="8446" width="15.28515625" style="210" customWidth="1"/>
    <col min="8447" max="8448" width="0" style="210" hidden="1" customWidth="1"/>
    <col min="8449" max="8449" width="11.5703125" style="210" customWidth="1"/>
    <col min="8450" max="8450" width="7.42578125" style="210" customWidth="1"/>
    <col min="8451" max="8451" width="10.7109375" style="210" customWidth="1"/>
    <col min="8452" max="8452" width="10.5703125" style="210" customWidth="1"/>
    <col min="8453" max="8453" width="9.42578125" style="210" customWidth="1"/>
    <col min="8454" max="8454" width="9.140625" style="210" customWidth="1"/>
    <col min="8455" max="8455" width="11.7109375" style="210" customWidth="1"/>
    <col min="8456" max="8456" width="13" style="210" customWidth="1"/>
    <col min="8457" max="8457" width="11.28515625" style="210" customWidth="1"/>
    <col min="8458" max="8461" width="0" style="210" hidden="1" customWidth="1"/>
    <col min="8462" max="8697" width="9.140625" style="210"/>
    <col min="8698" max="8698" width="4.42578125" style="210" customWidth="1"/>
    <col min="8699" max="8699" width="35.140625" style="210" customWidth="1"/>
    <col min="8700" max="8700" width="12.85546875" style="210" customWidth="1"/>
    <col min="8701" max="8701" width="14.5703125" style="210" customWidth="1"/>
    <col min="8702" max="8702" width="15.28515625" style="210" customWidth="1"/>
    <col min="8703" max="8704" width="0" style="210" hidden="1" customWidth="1"/>
    <col min="8705" max="8705" width="11.5703125" style="210" customWidth="1"/>
    <col min="8706" max="8706" width="7.42578125" style="210" customWidth="1"/>
    <col min="8707" max="8707" width="10.7109375" style="210" customWidth="1"/>
    <col min="8708" max="8708" width="10.5703125" style="210" customWidth="1"/>
    <col min="8709" max="8709" width="9.42578125" style="210" customWidth="1"/>
    <col min="8710" max="8710" width="9.140625" style="210" customWidth="1"/>
    <col min="8711" max="8711" width="11.7109375" style="210" customWidth="1"/>
    <col min="8712" max="8712" width="13" style="210" customWidth="1"/>
    <col min="8713" max="8713" width="11.28515625" style="210" customWidth="1"/>
    <col min="8714" max="8717" width="0" style="210" hidden="1" customWidth="1"/>
    <col min="8718" max="8953" width="9.140625" style="210"/>
    <col min="8954" max="8954" width="4.42578125" style="210" customWidth="1"/>
    <col min="8955" max="8955" width="35.140625" style="210" customWidth="1"/>
    <col min="8956" max="8956" width="12.85546875" style="210" customWidth="1"/>
    <col min="8957" max="8957" width="14.5703125" style="210" customWidth="1"/>
    <col min="8958" max="8958" width="15.28515625" style="210" customWidth="1"/>
    <col min="8959" max="8960" width="0" style="210" hidden="1" customWidth="1"/>
    <col min="8961" max="8961" width="11.5703125" style="210" customWidth="1"/>
    <col min="8962" max="8962" width="7.42578125" style="210" customWidth="1"/>
    <col min="8963" max="8963" width="10.7109375" style="210" customWidth="1"/>
    <col min="8964" max="8964" width="10.5703125" style="210" customWidth="1"/>
    <col min="8965" max="8965" width="9.42578125" style="210" customWidth="1"/>
    <col min="8966" max="8966" width="9.140625" style="210" customWidth="1"/>
    <col min="8967" max="8967" width="11.7109375" style="210" customWidth="1"/>
    <col min="8968" max="8968" width="13" style="210" customWidth="1"/>
    <col min="8969" max="8969" width="11.28515625" style="210" customWidth="1"/>
    <col min="8970" max="8973" width="0" style="210" hidden="1" customWidth="1"/>
    <col min="8974" max="9209" width="9.140625" style="210"/>
    <col min="9210" max="9210" width="4.42578125" style="210" customWidth="1"/>
    <col min="9211" max="9211" width="35.140625" style="210" customWidth="1"/>
    <col min="9212" max="9212" width="12.85546875" style="210" customWidth="1"/>
    <col min="9213" max="9213" width="14.5703125" style="210" customWidth="1"/>
    <col min="9214" max="9214" width="15.28515625" style="210" customWidth="1"/>
    <col min="9215" max="9216" width="0" style="210" hidden="1" customWidth="1"/>
    <col min="9217" max="9217" width="11.5703125" style="210" customWidth="1"/>
    <col min="9218" max="9218" width="7.42578125" style="210" customWidth="1"/>
    <col min="9219" max="9219" width="10.7109375" style="210" customWidth="1"/>
    <col min="9220" max="9220" width="10.5703125" style="210" customWidth="1"/>
    <col min="9221" max="9221" width="9.42578125" style="210" customWidth="1"/>
    <col min="9222" max="9222" width="9.140625" style="210" customWidth="1"/>
    <col min="9223" max="9223" width="11.7109375" style="210" customWidth="1"/>
    <col min="9224" max="9224" width="13" style="210" customWidth="1"/>
    <col min="9225" max="9225" width="11.28515625" style="210" customWidth="1"/>
    <col min="9226" max="9229" width="0" style="210" hidden="1" customWidth="1"/>
    <col min="9230" max="9465" width="9.140625" style="210"/>
    <col min="9466" max="9466" width="4.42578125" style="210" customWidth="1"/>
    <col min="9467" max="9467" width="35.140625" style="210" customWidth="1"/>
    <col min="9468" max="9468" width="12.85546875" style="210" customWidth="1"/>
    <col min="9469" max="9469" width="14.5703125" style="210" customWidth="1"/>
    <col min="9470" max="9470" width="15.28515625" style="210" customWidth="1"/>
    <col min="9471" max="9472" width="0" style="210" hidden="1" customWidth="1"/>
    <col min="9473" max="9473" width="11.5703125" style="210" customWidth="1"/>
    <col min="9474" max="9474" width="7.42578125" style="210" customWidth="1"/>
    <col min="9475" max="9475" width="10.7109375" style="210" customWidth="1"/>
    <col min="9476" max="9476" width="10.5703125" style="210" customWidth="1"/>
    <col min="9477" max="9477" width="9.42578125" style="210" customWidth="1"/>
    <col min="9478" max="9478" width="9.140625" style="210" customWidth="1"/>
    <col min="9479" max="9479" width="11.7109375" style="210" customWidth="1"/>
    <col min="9480" max="9480" width="13" style="210" customWidth="1"/>
    <col min="9481" max="9481" width="11.28515625" style="210" customWidth="1"/>
    <col min="9482" max="9485" width="0" style="210" hidden="1" customWidth="1"/>
    <col min="9486" max="9721" width="9.140625" style="210"/>
    <col min="9722" max="9722" width="4.42578125" style="210" customWidth="1"/>
    <col min="9723" max="9723" width="35.140625" style="210" customWidth="1"/>
    <col min="9724" max="9724" width="12.85546875" style="210" customWidth="1"/>
    <col min="9725" max="9725" width="14.5703125" style="210" customWidth="1"/>
    <col min="9726" max="9726" width="15.28515625" style="210" customWidth="1"/>
    <col min="9727" max="9728" width="0" style="210" hidden="1" customWidth="1"/>
    <col min="9729" max="9729" width="11.5703125" style="210" customWidth="1"/>
    <col min="9730" max="9730" width="7.42578125" style="210" customWidth="1"/>
    <col min="9731" max="9731" width="10.7109375" style="210" customWidth="1"/>
    <col min="9732" max="9732" width="10.5703125" style="210" customWidth="1"/>
    <col min="9733" max="9733" width="9.42578125" style="210" customWidth="1"/>
    <col min="9734" max="9734" width="9.140625" style="210" customWidth="1"/>
    <col min="9735" max="9735" width="11.7109375" style="210" customWidth="1"/>
    <col min="9736" max="9736" width="13" style="210" customWidth="1"/>
    <col min="9737" max="9737" width="11.28515625" style="210" customWidth="1"/>
    <col min="9738" max="9741" width="0" style="210" hidden="1" customWidth="1"/>
    <col min="9742" max="9977" width="9.140625" style="210"/>
    <col min="9978" max="9978" width="4.42578125" style="210" customWidth="1"/>
    <col min="9979" max="9979" width="35.140625" style="210" customWidth="1"/>
    <col min="9980" max="9980" width="12.85546875" style="210" customWidth="1"/>
    <col min="9981" max="9981" width="14.5703125" style="210" customWidth="1"/>
    <col min="9982" max="9982" width="15.28515625" style="210" customWidth="1"/>
    <col min="9983" max="9984" width="0" style="210" hidden="1" customWidth="1"/>
    <col min="9985" max="9985" width="11.5703125" style="210" customWidth="1"/>
    <col min="9986" max="9986" width="7.42578125" style="210" customWidth="1"/>
    <col min="9987" max="9987" width="10.7109375" style="210" customWidth="1"/>
    <col min="9988" max="9988" width="10.5703125" style="210" customWidth="1"/>
    <col min="9989" max="9989" width="9.42578125" style="210" customWidth="1"/>
    <col min="9990" max="9990" width="9.140625" style="210" customWidth="1"/>
    <col min="9991" max="9991" width="11.7109375" style="210" customWidth="1"/>
    <col min="9992" max="9992" width="13" style="210" customWidth="1"/>
    <col min="9993" max="9993" width="11.28515625" style="210" customWidth="1"/>
    <col min="9994" max="9997" width="0" style="210" hidden="1" customWidth="1"/>
    <col min="9998" max="10233" width="9.140625" style="210"/>
    <col min="10234" max="10234" width="4.42578125" style="210" customWidth="1"/>
    <col min="10235" max="10235" width="35.140625" style="210" customWidth="1"/>
    <col min="10236" max="10236" width="12.85546875" style="210" customWidth="1"/>
    <col min="10237" max="10237" width="14.5703125" style="210" customWidth="1"/>
    <col min="10238" max="10238" width="15.28515625" style="210" customWidth="1"/>
    <col min="10239" max="10240" width="0" style="210" hidden="1" customWidth="1"/>
    <col min="10241" max="10241" width="11.5703125" style="210" customWidth="1"/>
    <col min="10242" max="10242" width="7.42578125" style="210" customWidth="1"/>
    <col min="10243" max="10243" width="10.7109375" style="210" customWidth="1"/>
    <col min="10244" max="10244" width="10.5703125" style="210" customWidth="1"/>
    <col min="10245" max="10245" width="9.42578125" style="210" customWidth="1"/>
    <col min="10246" max="10246" width="9.140625" style="210" customWidth="1"/>
    <col min="10247" max="10247" width="11.7109375" style="210" customWidth="1"/>
    <col min="10248" max="10248" width="13" style="210" customWidth="1"/>
    <col min="10249" max="10249" width="11.28515625" style="210" customWidth="1"/>
    <col min="10250" max="10253" width="0" style="210" hidden="1" customWidth="1"/>
    <col min="10254" max="10489" width="9.140625" style="210"/>
    <col min="10490" max="10490" width="4.42578125" style="210" customWidth="1"/>
    <col min="10491" max="10491" width="35.140625" style="210" customWidth="1"/>
    <col min="10492" max="10492" width="12.85546875" style="210" customWidth="1"/>
    <col min="10493" max="10493" width="14.5703125" style="210" customWidth="1"/>
    <col min="10494" max="10494" width="15.28515625" style="210" customWidth="1"/>
    <col min="10495" max="10496" width="0" style="210" hidden="1" customWidth="1"/>
    <col min="10497" max="10497" width="11.5703125" style="210" customWidth="1"/>
    <col min="10498" max="10498" width="7.42578125" style="210" customWidth="1"/>
    <col min="10499" max="10499" width="10.7109375" style="210" customWidth="1"/>
    <col min="10500" max="10500" width="10.5703125" style="210" customWidth="1"/>
    <col min="10501" max="10501" width="9.42578125" style="210" customWidth="1"/>
    <col min="10502" max="10502" width="9.140625" style="210" customWidth="1"/>
    <col min="10503" max="10503" width="11.7109375" style="210" customWidth="1"/>
    <col min="10504" max="10504" width="13" style="210" customWidth="1"/>
    <col min="10505" max="10505" width="11.28515625" style="210" customWidth="1"/>
    <col min="10506" max="10509" width="0" style="210" hidden="1" customWidth="1"/>
    <col min="10510" max="10745" width="9.140625" style="210"/>
    <col min="10746" max="10746" width="4.42578125" style="210" customWidth="1"/>
    <col min="10747" max="10747" width="35.140625" style="210" customWidth="1"/>
    <col min="10748" max="10748" width="12.85546875" style="210" customWidth="1"/>
    <col min="10749" max="10749" width="14.5703125" style="210" customWidth="1"/>
    <col min="10750" max="10750" width="15.28515625" style="210" customWidth="1"/>
    <col min="10751" max="10752" width="0" style="210" hidden="1" customWidth="1"/>
    <col min="10753" max="10753" width="11.5703125" style="210" customWidth="1"/>
    <col min="10754" max="10754" width="7.42578125" style="210" customWidth="1"/>
    <col min="10755" max="10755" width="10.7109375" style="210" customWidth="1"/>
    <col min="10756" max="10756" width="10.5703125" style="210" customWidth="1"/>
    <col min="10757" max="10757" width="9.42578125" style="210" customWidth="1"/>
    <col min="10758" max="10758" width="9.140625" style="210" customWidth="1"/>
    <col min="10759" max="10759" width="11.7109375" style="210" customWidth="1"/>
    <col min="10760" max="10760" width="13" style="210" customWidth="1"/>
    <col min="10761" max="10761" width="11.28515625" style="210" customWidth="1"/>
    <col min="10762" max="10765" width="0" style="210" hidden="1" customWidth="1"/>
    <col min="10766" max="11001" width="9.140625" style="210"/>
    <col min="11002" max="11002" width="4.42578125" style="210" customWidth="1"/>
    <col min="11003" max="11003" width="35.140625" style="210" customWidth="1"/>
    <col min="11004" max="11004" width="12.85546875" style="210" customWidth="1"/>
    <col min="11005" max="11005" width="14.5703125" style="210" customWidth="1"/>
    <col min="11006" max="11006" width="15.28515625" style="210" customWidth="1"/>
    <col min="11007" max="11008" width="0" style="210" hidden="1" customWidth="1"/>
    <col min="11009" max="11009" width="11.5703125" style="210" customWidth="1"/>
    <col min="11010" max="11010" width="7.42578125" style="210" customWidth="1"/>
    <col min="11011" max="11011" width="10.7109375" style="210" customWidth="1"/>
    <col min="11012" max="11012" width="10.5703125" style="210" customWidth="1"/>
    <col min="11013" max="11013" width="9.42578125" style="210" customWidth="1"/>
    <col min="11014" max="11014" width="9.140625" style="210" customWidth="1"/>
    <col min="11015" max="11015" width="11.7109375" style="210" customWidth="1"/>
    <col min="11016" max="11016" width="13" style="210" customWidth="1"/>
    <col min="11017" max="11017" width="11.28515625" style="210" customWidth="1"/>
    <col min="11018" max="11021" width="0" style="210" hidden="1" customWidth="1"/>
    <col min="11022" max="11257" width="9.140625" style="210"/>
    <col min="11258" max="11258" width="4.42578125" style="210" customWidth="1"/>
    <col min="11259" max="11259" width="35.140625" style="210" customWidth="1"/>
    <col min="11260" max="11260" width="12.85546875" style="210" customWidth="1"/>
    <col min="11261" max="11261" width="14.5703125" style="210" customWidth="1"/>
    <col min="11262" max="11262" width="15.28515625" style="210" customWidth="1"/>
    <col min="11263" max="11264" width="0" style="210" hidden="1" customWidth="1"/>
    <col min="11265" max="11265" width="11.5703125" style="210" customWidth="1"/>
    <col min="11266" max="11266" width="7.42578125" style="210" customWidth="1"/>
    <col min="11267" max="11267" width="10.7109375" style="210" customWidth="1"/>
    <col min="11268" max="11268" width="10.5703125" style="210" customWidth="1"/>
    <col min="11269" max="11269" width="9.42578125" style="210" customWidth="1"/>
    <col min="11270" max="11270" width="9.140625" style="210" customWidth="1"/>
    <col min="11271" max="11271" width="11.7109375" style="210" customWidth="1"/>
    <col min="11272" max="11272" width="13" style="210" customWidth="1"/>
    <col min="11273" max="11273" width="11.28515625" style="210" customWidth="1"/>
    <col min="11274" max="11277" width="0" style="210" hidden="1" customWidth="1"/>
    <col min="11278" max="11513" width="9.140625" style="210"/>
    <col min="11514" max="11514" width="4.42578125" style="210" customWidth="1"/>
    <col min="11515" max="11515" width="35.140625" style="210" customWidth="1"/>
    <col min="11516" max="11516" width="12.85546875" style="210" customWidth="1"/>
    <col min="11517" max="11517" width="14.5703125" style="210" customWidth="1"/>
    <col min="11518" max="11518" width="15.28515625" style="210" customWidth="1"/>
    <col min="11519" max="11520" width="0" style="210" hidden="1" customWidth="1"/>
    <col min="11521" max="11521" width="11.5703125" style="210" customWidth="1"/>
    <col min="11522" max="11522" width="7.42578125" style="210" customWidth="1"/>
    <col min="11523" max="11523" width="10.7109375" style="210" customWidth="1"/>
    <col min="11524" max="11524" width="10.5703125" style="210" customWidth="1"/>
    <col min="11525" max="11525" width="9.42578125" style="210" customWidth="1"/>
    <col min="11526" max="11526" width="9.140625" style="210" customWidth="1"/>
    <col min="11527" max="11527" width="11.7109375" style="210" customWidth="1"/>
    <col min="11528" max="11528" width="13" style="210" customWidth="1"/>
    <col min="11529" max="11529" width="11.28515625" style="210" customWidth="1"/>
    <col min="11530" max="11533" width="0" style="210" hidden="1" customWidth="1"/>
    <col min="11534" max="11769" width="9.140625" style="210"/>
    <col min="11770" max="11770" width="4.42578125" style="210" customWidth="1"/>
    <col min="11771" max="11771" width="35.140625" style="210" customWidth="1"/>
    <col min="11772" max="11772" width="12.85546875" style="210" customWidth="1"/>
    <col min="11773" max="11773" width="14.5703125" style="210" customWidth="1"/>
    <col min="11774" max="11774" width="15.28515625" style="210" customWidth="1"/>
    <col min="11775" max="11776" width="0" style="210" hidden="1" customWidth="1"/>
    <col min="11777" max="11777" width="11.5703125" style="210" customWidth="1"/>
    <col min="11778" max="11778" width="7.42578125" style="210" customWidth="1"/>
    <col min="11779" max="11779" width="10.7109375" style="210" customWidth="1"/>
    <col min="11780" max="11780" width="10.5703125" style="210" customWidth="1"/>
    <col min="11781" max="11781" width="9.42578125" style="210" customWidth="1"/>
    <col min="11782" max="11782" width="9.140625" style="210" customWidth="1"/>
    <col min="11783" max="11783" width="11.7109375" style="210" customWidth="1"/>
    <col min="11784" max="11784" width="13" style="210" customWidth="1"/>
    <col min="11785" max="11785" width="11.28515625" style="210" customWidth="1"/>
    <col min="11786" max="11789" width="0" style="210" hidden="1" customWidth="1"/>
    <col min="11790" max="12025" width="9.140625" style="210"/>
    <col min="12026" max="12026" width="4.42578125" style="210" customWidth="1"/>
    <col min="12027" max="12027" width="35.140625" style="210" customWidth="1"/>
    <col min="12028" max="12028" width="12.85546875" style="210" customWidth="1"/>
    <col min="12029" max="12029" width="14.5703125" style="210" customWidth="1"/>
    <col min="12030" max="12030" width="15.28515625" style="210" customWidth="1"/>
    <col min="12031" max="12032" width="0" style="210" hidden="1" customWidth="1"/>
    <col min="12033" max="12033" width="11.5703125" style="210" customWidth="1"/>
    <col min="12034" max="12034" width="7.42578125" style="210" customWidth="1"/>
    <col min="12035" max="12035" width="10.7109375" style="210" customWidth="1"/>
    <col min="12036" max="12036" width="10.5703125" style="210" customWidth="1"/>
    <col min="12037" max="12037" width="9.42578125" style="210" customWidth="1"/>
    <col min="12038" max="12038" width="9.140625" style="210" customWidth="1"/>
    <col min="12039" max="12039" width="11.7109375" style="210" customWidth="1"/>
    <col min="12040" max="12040" width="13" style="210" customWidth="1"/>
    <col min="12041" max="12041" width="11.28515625" style="210" customWidth="1"/>
    <col min="12042" max="12045" width="0" style="210" hidden="1" customWidth="1"/>
    <col min="12046" max="12281" width="9.140625" style="210"/>
    <col min="12282" max="12282" width="4.42578125" style="210" customWidth="1"/>
    <col min="12283" max="12283" width="35.140625" style="210" customWidth="1"/>
    <col min="12284" max="12284" width="12.85546875" style="210" customWidth="1"/>
    <col min="12285" max="12285" width="14.5703125" style="210" customWidth="1"/>
    <col min="12286" max="12286" width="15.28515625" style="210" customWidth="1"/>
    <col min="12287" max="12288" width="0" style="210" hidden="1" customWidth="1"/>
    <col min="12289" max="12289" width="11.5703125" style="210" customWidth="1"/>
    <col min="12290" max="12290" width="7.42578125" style="210" customWidth="1"/>
    <col min="12291" max="12291" width="10.7109375" style="210" customWidth="1"/>
    <col min="12292" max="12292" width="10.5703125" style="210" customWidth="1"/>
    <col min="12293" max="12293" width="9.42578125" style="210" customWidth="1"/>
    <col min="12294" max="12294" width="9.140625" style="210" customWidth="1"/>
    <col min="12295" max="12295" width="11.7109375" style="210" customWidth="1"/>
    <col min="12296" max="12296" width="13" style="210" customWidth="1"/>
    <col min="12297" max="12297" width="11.28515625" style="210" customWidth="1"/>
    <col min="12298" max="12301" width="0" style="210" hidden="1" customWidth="1"/>
    <col min="12302" max="12537" width="9.140625" style="210"/>
    <col min="12538" max="12538" width="4.42578125" style="210" customWidth="1"/>
    <col min="12539" max="12539" width="35.140625" style="210" customWidth="1"/>
    <col min="12540" max="12540" width="12.85546875" style="210" customWidth="1"/>
    <col min="12541" max="12541" width="14.5703125" style="210" customWidth="1"/>
    <col min="12542" max="12542" width="15.28515625" style="210" customWidth="1"/>
    <col min="12543" max="12544" width="0" style="210" hidden="1" customWidth="1"/>
    <col min="12545" max="12545" width="11.5703125" style="210" customWidth="1"/>
    <col min="12546" max="12546" width="7.42578125" style="210" customWidth="1"/>
    <col min="12547" max="12547" width="10.7109375" style="210" customWidth="1"/>
    <col min="12548" max="12548" width="10.5703125" style="210" customWidth="1"/>
    <col min="12549" max="12549" width="9.42578125" style="210" customWidth="1"/>
    <col min="12550" max="12550" width="9.140625" style="210" customWidth="1"/>
    <col min="12551" max="12551" width="11.7109375" style="210" customWidth="1"/>
    <col min="12552" max="12552" width="13" style="210" customWidth="1"/>
    <col min="12553" max="12553" width="11.28515625" style="210" customWidth="1"/>
    <col min="12554" max="12557" width="0" style="210" hidden="1" customWidth="1"/>
    <col min="12558" max="12793" width="9.140625" style="210"/>
    <col min="12794" max="12794" width="4.42578125" style="210" customWidth="1"/>
    <col min="12795" max="12795" width="35.140625" style="210" customWidth="1"/>
    <col min="12796" max="12796" width="12.85546875" style="210" customWidth="1"/>
    <col min="12797" max="12797" width="14.5703125" style="210" customWidth="1"/>
    <col min="12798" max="12798" width="15.28515625" style="210" customWidth="1"/>
    <col min="12799" max="12800" width="0" style="210" hidden="1" customWidth="1"/>
    <col min="12801" max="12801" width="11.5703125" style="210" customWidth="1"/>
    <col min="12802" max="12802" width="7.42578125" style="210" customWidth="1"/>
    <col min="12803" max="12803" width="10.7109375" style="210" customWidth="1"/>
    <col min="12804" max="12804" width="10.5703125" style="210" customWidth="1"/>
    <col min="12805" max="12805" width="9.42578125" style="210" customWidth="1"/>
    <col min="12806" max="12806" width="9.140625" style="210" customWidth="1"/>
    <col min="12807" max="12807" width="11.7109375" style="210" customWidth="1"/>
    <col min="12808" max="12808" width="13" style="210" customWidth="1"/>
    <col min="12809" max="12809" width="11.28515625" style="210" customWidth="1"/>
    <col min="12810" max="12813" width="0" style="210" hidden="1" customWidth="1"/>
    <col min="12814" max="13049" width="9.140625" style="210"/>
    <col min="13050" max="13050" width="4.42578125" style="210" customWidth="1"/>
    <col min="13051" max="13051" width="35.140625" style="210" customWidth="1"/>
    <col min="13052" max="13052" width="12.85546875" style="210" customWidth="1"/>
    <col min="13053" max="13053" width="14.5703125" style="210" customWidth="1"/>
    <col min="13054" max="13054" width="15.28515625" style="210" customWidth="1"/>
    <col min="13055" max="13056" width="0" style="210" hidden="1" customWidth="1"/>
    <col min="13057" max="13057" width="11.5703125" style="210" customWidth="1"/>
    <col min="13058" max="13058" width="7.42578125" style="210" customWidth="1"/>
    <col min="13059" max="13059" width="10.7109375" style="210" customWidth="1"/>
    <col min="13060" max="13060" width="10.5703125" style="210" customWidth="1"/>
    <col min="13061" max="13061" width="9.42578125" style="210" customWidth="1"/>
    <col min="13062" max="13062" width="9.140625" style="210" customWidth="1"/>
    <col min="13063" max="13063" width="11.7109375" style="210" customWidth="1"/>
    <col min="13064" max="13064" width="13" style="210" customWidth="1"/>
    <col min="13065" max="13065" width="11.28515625" style="210" customWidth="1"/>
    <col min="13066" max="13069" width="0" style="210" hidden="1" customWidth="1"/>
    <col min="13070" max="13305" width="9.140625" style="210"/>
    <col min="13306" max="13306" width="4.42578125" style="210" customWidth="1"/>
    <col min="13307" max="13307" width="35.140625" style="210" customWidth="1"/>
    <col min="13308" max="13308" width="12.85546875" style="210" customWidth="1"/>
    <col min="13309" max="13309" width="14.5703125" style="210" customWidth="1"/>
    <col min="13310" max="13310" width="15.28515625" style="210" customWidth="1"/>
    <col min="13311" max="13312" width="0" style="210" hidden="1" customWidth="1"/>
    <col min="13313" max="13313" width="11.5703125" style="210" customWidth="1"/>
    <col min="13314" max="13314" width="7.42578125" style="210" customWidth="1"/>
    <col min="13315" max="13315" width="10.7109375" style="210" customWidth="1"/>
    <col min="13316" max="13316" width="10.5703125" style="210" customWidth="1"/>
    <col min="13317" max="13317" width="9.42578125" style="210" customWidth="1"/>
    <col min="13318" max="13318" width="9.140625" style="210" customWidth="1"/>
    <col min="13319" max="13319" width="11.7109375" style="210" customWidth="1"/>
    <col min="13320" max="13320" width="13" style="210" customWidth="1"/>
    <col min="13321" max="13321" width="11.28515625" style="210" customWidth="1"/>
    <col min="13322" max="13325" width="0" style="210" hidden="1" customWidth="1"/>
    <col min="13326" max="13561" width="9.140625" style="210"/>
    <col min="13562" max="13562" width="4.42578125" style="210" customWidth="1"/>
    <col min="13563" max="13563" width="35.140625" style="210" customWidth="1"/>
    <col min="13564" max="13564" width="12.85546875" style="210" customWidth="1"/>
    <col min="13565" max="13565" width="14.5703125" style="210" customWidth="1"/>
    <col min="13566" max="13566" width="15.28515625" style="210" customWidth="1"/>
    <col min="13567" max="13568" width="0" style="210" hidden="1" customWidth="1"/>
    <col min="13569" max="13569" width="11.5703125" style="210" customWidth="1"/>
    <col min="13570" max="13570" width="7.42578125" style="210" customWidth="1"/>
    <col min="13571" max="13571" width="10.7109375" style="210" customWidth="1"/>
    <col min="13572" max="13572" width="10.5703125" style="210" customWidth="1"/>
    <col min="13573" max="13573" width="9.42578125" style="210" customWidth="1"/>
    <col min="13574" max="13574" width="9.140625" style="210" customWidth="1"/>
    <col min="13575" max="13575" width="11.7109375" style="210" customWidth="1"/>
    <col min="13576" max="13576" width="13" style="210" customWidth="1"/>
    <col min="13577" max="13577" width="11.28515625" style="210" customWidth="1"/>
    <col min="13578" max="13581" width="0" style="210" hidden="1" customWidth="1"/>
    <col min="13582" max="13817" width="9.140625" style="210"/>
    <col min="13818" max="13818" width="4.42578125" style="210" customWidth="1"/>
    <col min="13819" max="13819" width="35.140625" style="210" customWidth="1"/>
    <col min="13820" max="13820" width="12.85546875" style="210" customWidth="1"/>
    <col min="13821" max="13821" width="14.5703125" style="210" customWidth="1"/>
    <col min="13822" max="13822" width="15.28515625" style="210" customWidth="1"/>
    <col min="13823" max="13824" width="0" style="210" hidden="1" customWidth="1"/>
    <col min="13825" max="13825" width="11.5703125" style="210" customWidth="1"/>
    <col min="13826" max="13826" width="7.42578125" style="210" customWidth="1"/>
    <col min="13827" max="13827" width="10.7109375" style="210" customWidth="1"/>
    <col min="13828" max="13828" width="10.5703125" style="210" customWidth="1"/>
    <col min="13829" max="13829" width="9.42578125" style="210" customWidth="1"/>
    <col min="13830" max="13830" width="9.140625" style="210" customWidth="1"/>
    <col min="13831" max="13831" width="11.7109375" style="210" customWidth="1"/>
    <col min="13832" max="13832" width="13" style="210" customWidth="1"/>
    <col min="13833" max="13833" width="11.28515625" style="210" customWidth="1"/>
    <col min="13834" max="13837" width="0" style="210" hidden="1" customWidth="1"/>
    <col min="13838" max="14073" width="9.140625" style="210"/>
    <col min="14074" max="14074" width="4.42578125" style="210" customWidth="1"/>
    <col min="14075" max="14075" width="35.140625" style="210" customWidth="1"/>
    <col min="14076" max="14076" width="12.85546875" style="210" customWidth="1"/>
    <col min="14077" max="14077" width="14.5703125" style="210" customWidth="1"/>
    <col min="14078" max="14078" width="15.28515625" style="210" customWidth="1"/>
    <col min="14079" max="14080" width="0" style="210" hidden="1" customWidth="1"/>
    <col min="14081" max="14081" width="11.5703125" style="210" customWidth="1"/>
    <col min="14082" max="14082" width="7.42578125" style="210" customWidth="1"/>
    <col min="14083" max="14083" width="10.7109375" style="210" customWidth="1"/>
    <col min="14084" max="14084" width="10.5703125" style="210" customWidth="1"/>
    <col min="14085" max="14085" width="9.42578125" style="210" customWidth="1"/>
    <col min="14086" max="14086" width="9.140625" style="210" customWidth="1"/>
    <col min="14087" max="14087" width="11.7109375" style="210" customWidth="1"/>
    <col min="14088" max="14088" width="13" style="210" customWidth="1"/>
    <col min="14089" max="14089" width="11.28515625" style="210" customWidth="1"/>
    <col min="14090" max="14093" width="0" style="210" hidden="1" customWidth="1"/>
    <col min="14094" max="14329" width="9.140625" style="210"/>
    <col min="14330" max="14330" width="4.42578125" style="210" customWidth="1"/>
    <col min="14331" max="14331" width="35.140625" style="210" customWidth="1"/>
    <col min="14332" max="14332" width="12.85546875" style="210" customWidth="1"/>
    <col min="14333" max="14333" width="14.5703125" style="210" customWidth="1"/>
    <col min="14334" max="14334" width="15.28515625" style="210" customWidth="1"/>
    <col min="14335" max="14336" width="0" style="210" hidden="1" customWidth="1"/>
    <col min="14337" max="14337" width="11.5703125" style="210" customWidth="1"/>
    <col min="14338" max="14338" width="7.42578125" style="210" customWidth="1"/>
    <col min="14339" max="14339" width="10.7109375" style="210" customWidth="1"/>
    <col min="14340" max="14340" width="10.5703125" style="210" customWidth="1"/>
    <col min="14341" max="14341" width="9.42578125" style="210" customWidth="1"/>
    <col min="14342" max="14342" width="9.140625" style="210" customWidth="1"/>
    <col min="14343" max="14343" width="11.7109375" style="210" customWidth="1"/>
    <col min="14344" max="14344" width="13" style="210" customWidth="1"/>
    <col min="14345" max="14345" width="11.28515625" style="210" customWidth="1"/>
    <col min="14346" max="14349" width="0" style="210" hidden="1" customWidth="1"/>
    <col min="14350" max="14585" width="9.140625" style="210"/>
    <col min="14586" max="14586" width="4.42578125" style="210" customWidth="1"/>
    <col min="14587" max="14587" width="35.140625" style="210" customWidth="1"/>
    <col min="14588" max="14588" width="12.85546875" style="210" customWidth="1"/>
    <col min="14589" max="14589" width="14.5703125" style="210" customWidth="1"/>
    <col min="14590" max="14590" width="15.28515625" style="210" customWidth="1"/>
    <col min="14591" max="14592" width="0" style="210" hidden="1" customWidth="1"/>
    <col min="14593" max="14593" width="11.5703125" style="210" customWidth="1"/>
    <col min="14594" max="14594" width="7.42578125" style="210" customWidth="1"/>
    <col min="14595" max="14595" width="10.7109375" style="210" customWidth="1"/>
    <col min="14596" max="14596" width="10.5703125" style="210" customWidth="1"/>
    <col min="14597" max="14597" width="9.42578125" style="210" customWidth="1"/>
    <col min="14598" max="14598" width="9.140625" style="210" customWidth="1"/>
    <col min="14599" max="14599" width="11.7109375" style="210" customWidth="1"/>
    <col min="14600" max="14600" width="13" style="210" customWidth="1"/>
    <col min="14601" max="14601" width="11.28515625" style="210" customWidth="1"/>
    <col min="14602" max="14605" width="0" style="210" hidden="1" customWidth="1"/>
    <col min="14606" max="14841" width="9.140625" style="210"/>
    <col min="14842" max="14842" width="4.42578125" style="210" customWidth="1"/>
    <col min="14843" max="14843" width="35.140625" style="210" customWidth="1"/>
    <col min="14844" max="14844" width="12.85546875" style="210" customWidth="1"/>
    <col min="14845" max="14845" width="14.5703125" style="210" customWidth="1"/>
    <col min="14846" max="14846" width="15.28515625" style="210" customWidth="1"/>
    <col min="14847" max="14848" width="0" style="210" hidden="1" customWidth="1"/>
    <col min="14849" max="14849" width="11.5703125" style="210" customWidth="1"/>
    <col min="14850" max="14850" width="7.42578125" style="210" customWidth="1"/>
    <col min="14851" max="14851" width="10.7109375" style="210" customWidth="1"/>
    <col min="14852" max="14852" width="10.5703125" style="210" customWidth="1"/>
    <col min="14853" max="14853" width="9.42578125" style="210" customWidth="1"/>
    <col min="14854" max="14854" width="9.140625" style="210" customWidth="1"/>
    <col min="14855" max="14855" width="11.7109375" style="210" customWidth="1"/>
    <col min="14856" max="14856" width="13" style="210" customWidth="1"/>
    <col min="14857" max="14857" width="11.28515625" style="210" customWidth="1"/>
    <col min="14858" max="14861" width="0" style="210" hidden="1" customWidth="1"/>
    <col min="14862" max="15097" width="9.140625" style="210"/>
    <col min="15098" max="15098" width="4.42578125" style="210" customWidth="1"/>
    <col min="15099" max="15099" width="35.140625" style="210" customWidth="1"/>
    <col min="15100" max="15100" width="12.85546875" style="210" customWidth="1"/>
    <col min="15101" max="15101" width="14.5703125" style="210" customWidth="1"/>
    <col min="15102" max="15102" width="15.28515625" style="210" customWidth="1"/>
    <col min="15103" max="15104" width="0" style="210" hidden="1" customWidth="1"/>
    <col min="15105" max="15105" width="11.5703125" style="210" customWidth="1"/>
    <col min="15106" max="15106" width="7.42578125" style="210" customWidth="1"/>
    <col min="15107" max="15107" width="10.7109375" style="210" customWidth="1"/>
    <col min="15108" max="15108" width="10.5703125" style="210" customWidth="1"/>
    <col min="15109" max="15109" width="9.42578125" style="210" customWidth="1"/>
    <col min="15110" max="15110" width="9.140625" style="210" customWidth="1"/>
    <col min="15111" max="15111" width="11.7109375" style="210" customWidth="1"/>
    <col min="15112" max="15112" width="13" style="210" customWidth="1"/>
    <col min="15113" max="15113" width="11.28515625" style="210" customWidth="1"/>
    <col min="15114" max="15117" width="0" style="210" hidden="1" customWidth="1"/>
    <col min="15118" max="15353" width="9.140625" style="210"/>
    <col min="15354" max="15354" width="4.42578125" style="210" customWidth="1"/>
    <col min="15355" max="15355" width="35.140625" style="210" customWidth="1"/>
    <col min="15356" max="15356" width="12.85546875" style="210" customWidth="1"/>
    <col min="15357" max="15357" width="14.5703125" style="210" customWidth="1"/>
    <col min="15358" max="15358" width="15.28515625" style="210" customWidth="1"/>
    <col min="15359" max="15360" width="0" style="210" hidden="1" customWidth="1"/>
    <col min="15361" max="15361" width="11.5703125" style="210" customWidth="1"/>
    <col min="15362" max="15362" width="7.42578125" style="210" customWidth="1"/>
    <col min="15363" max="15363" width="10.7109375" style="210" customWidth="1"/>
    <col min="15364" max="15364" width="10.5703125" style="210" customWidth="1"/>
    <col min="15365" max="15365" width="9.42578125" style="210" customWidth="1"/>
    <col min="15366" max="15366" width="9.140625" style="210" customWidth="1"/>
    <col min="15367" max="15367" width="11.7109375" style="210" customWidth="1"/>
    <col min="15368" max="15368" width="13" style="210" customWidth="1"/>
    <col min="15369" max="15369" width="11.28515625" style="210" customWidth="1"/>
    <col min="15370" max="15373" width="0" style="210" hidden="1" customWidth="1"/>
    <col min="15374" max="15609" width="9.140625" style="210"/>
    <col min="15610" max="15610" width="4.42578125" style="210" customWidth="1"/>
    <col min="15611" max="15611" width="35.140625" style="210" customWidth="1"/>
    <col min="15612" max="15612" width="12.85546875" style="210" customWidth="1"/>
    <col min="15613" max="15613" width="14.5703125" style="210" customWidth="1"/>
    <col min="15614" max="15614" width="15.28515625" style="210" customWidth="1"/>
    <col min="15615" max="15616" width="0" style="210" hidden="1" customWidth="1"/>
    <col min="15617" max="15617" width="11.5703125" style="210" customWidth="1"/>
    <col min="15618" max="15618" width="7.42578125" style="210" customWidth="1"/>
    <col min="15619" max="15619" width="10.7109375" style="210" customWidth="1"/>
    <col min="15620" max="15620" width="10.5703125" style="210" customWidth="1"/>
    <col min="15621" max="15621" width="9.42578125" style="210" customWidth="1"/>
    <col min="15622" max="15622" width="9.140625" style="210" customWidth="1"/>
    <col min="15623" max="15623" width="11.7109375" style="210" customWidth="1"/>
    <col min="15624" max="15624" width="13" style="210" customWidth="1"/>
    <col min="15625" max="15625" width="11.28515625" style="210" customWidth="1"/>
    <col min="15626" max="15629" width="0" style="210" hidden="1" customWidth="1"/>
    <col min="15630" max="15865" width="9.140625" style="210"/>
    <col min="15866" max="15866" width="4.42578125" style="210" customWidth="1"/>
    <col min="15867" max="15867" width="35.140625" style="210" customWidth="1"/>
    <col min="15868" max="15868" width="12.85546875" style="210" customWidth="1"/>
    <col min="15869" max="15869" width="14.5703125" style="210" customWidth="1"/>
    <col min="15870" max="15870" width="15.28515625" style="210" customWidth="1"/>
    <col min="15871" max="15872" width="0" style="210" hidden="1" customWidth="1"/>
    <col min="15873" max="15873" width="11.5703125" style="210" customWidth="1"/>
    <col min="15874" max="15874" width="7.42578125" style="210" customWidth="1"/>
    <col min="15875" max="15875" width="10.7109375" style="210" customWidth="1"/>
    <col min="15876" max="15876" width="10.5703125" style="210" customWidth="1"/>
    <col min="15877" max="15877" width="9.42578125" style="210" customWidth="1"/>
    <col min="15878" max="15878" width="9.140625" style="210" customWidth="1"/>
    <col min="15879" max="15879" width="11.7109375" style="210" customWidth="1"/>
    <col min="15880" max="15880" width="13" style="210" customWidth="1"/>
    <col min="15881" max="15881" width="11.28515625" style="210" customWidth="1"/>
    <col min="15882" max="15885" width="0" style="210" hidden="1" customWidth="1"/>
    <col min="15886" max="16121" width="9.140625" style="210"/>
    <col min="16122" max="16122" width="4.42578125" style="210" customWidth="1"/>
    <col min="16123" max="16123" width="35.140625" style="210" customWidth="1"/>
    <col min="16124" max="16124" width="12.85546875" style="210" customWidth="1"/>
    <col min="16125" max="16125" width="14.5703125" style="210" customWidth="1"/>
    <col min="16126" max="16126" width="15.28515625" style="210" customWidth="1"/>
    <col min="16127" max="16128" width="0" style="210" hidden="1" customWidth="1"/>
    <col min="16129" max="16129" width="11.5703125" style="210" customWidth="1"/>
    <col min="16130" max="16130" width="7.42578125" style="210" customWidth="1"/>
    <col min="16131" max="16131" width="10.7109375" style="210" customWidth="1"/>
    <col min="16132" max="16132" width="10.5703125" style="210" customWidth="1"/>
    <col min="16133" max="16133" width="9.42578125" style="210" customWidth="1"/>
    <col min="16134" max="16134" width="9.140625" style="210" customWidth="1"/>
    <col min="16135" max="16135" width="11.7109375" style="210" customWidth="1"/>
    <col min="16136" max="16136" width="13" style="210" customWidth="1"/>
    <col min="16137" max="16137" width="11.28515625" style="210" customWidth="1"/>
    <col min="16138" max="16141" width="0" style="210" hidden="1" customWidth="1"/>
    <col min="16142" max="16384" width="9.140625" style="210"/>
  </cols>
  <sheetData>
    <row r="1" spans="1:14" ht="23.25" x14ac:dyDescent="0.25">
      <c r="A1" s="1187" t="s">
        <v>412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" t="s">
        <v>99</v>
      </c>
    </row>
    <row r="2" spans="1:14" ht="18.75" x14ac:dyDescent="0.25">
      <c r="A2" s="1188" t="s">
        <v>722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</row>
    <row r="3" spans="1:14" ht="15" customHeight="1" x14ac:dyDescent="0.25">
      <c r="A3" s="979" t="s">
        <v>0</v>
      </c>
      <c r="B3" s="979" t="s">
        <v>25</v>
      </c>
      <c r="C3" s="979" t="s">
        <v>26</v>
      </c>
      <c r="D3" s="979" t="s">
        <v>27</v>
      </c>
      <c r="E3" s="979" t="s">
        <v>28</v>
      </c>
      <c r="F3" s="979" t="s">
        <v>29</v>
      </c>
      <c r="G3" s="1190" t="s">
        <v>46</v>
      </c>
      <c r="H3" s="1190"/>
      <c r="I3" s="1190"/>
      <c r="J3" s="1190"/>
      <c r="K3" s="1190"/>
      <c r="L3" s="216" t="s">
        <v>413</v>
      </c>
      <c r="M3" s="1183" t="s">
        <v>397</v>
      </c>
      <c r="N3" s="1183" t="s">
        <v>59</v>
      </c>
    </row>
    <row r="4" spans="1:14" ht="60" x14ac:dyDescent="0.25">
      <c r="A4" s="1071"/>
      <c r="B4" s="1071"/>
      <c r="C4" s="1071"/>
      <c r="D4" s="1071"/>
      <c r="E4" s="1071"/>
      <c r="F4" s="1189"/>
      <c r="G4" s="217" t="s">
        <v>47</v>
      </c>
      <c r="H4" s="217" t="s">
        <v>49</v>
      </c>
      <c r="I4" s="217" t="s">
        <v>50</v>
      </c>
      <c r="J4" s="217" t="s">
        <v>337</v>
      </c>
      <c r="K4" s="217" t="s">
        <v>51</v>
      </c>
      <c r="L4" s="217" t="s">
        <v>414</v>
      </c>
      <c r="M4" s="1183"/>
      <c r="N4" s="1183"/>
    </row>
    <row r="5" spans="1:14" s="119" customFormat="1" ht="11.25" x14ac:dyDescent="0.25">
      <c r="A5" s="218">
        <v>1</v>
      </c>
      <c r="B5" s="277" t="e">
        <f>#REF!</f>
        <v>#REF!</v>
      </c>
      <c r="C5" s="219">
        <v>3</v>
      </c>
      <c r="D5" s="219">
        <v>4</v>
      </c>
      <c r="E5" s="219">
        <v>5</v>
      </c>
      <c r="F5" s="220">
        <v>6</v>
      </c>
      <c r="G5" s="1184">
        <v>7</v>
      </c>
      <c r="H5" s="1185"/>
      <c r="I5" s="1185"/>
      <c r="J5" s="1185"/>
      <c r="K5" s="1185"/>
      <c r="L5" s="1186"/>
      <c r="M5" s="219">
        <v>8</v>
      </c>
      <c r="N5" s="219">
        <v>9</v>
      </c>
    </row>
    <row r="6" spans="1:14" ht="25.5" x14ac:dyDescent="0.25">
      <c r="A6" s="221">
        <v>1</v>
      </c>
      <c r="B6" s="222" t="s">
        <v>415</v>
      </c>
      <c r="C6" s="223"/>
      <c r="D6" s="223"/>
      <c r="E6" s="223"/>
      <c r="F6" s="221"/>
      <c r="G6" s="224"/>
      <c r="H6" s="225"/>
      <c r="I6" s="225"/>
      <c r="J6" s="225"/>
      <c r="K6" s="226"/>
      <c r="L6" s="227"/>
      <c r="M6" s="223"/>
      <c r="N6" s="228"/>
    </row>
    <row r="7" spans="1:14" s="172" customFormat="1" ht="51" outlineLevel="1" x14ac:dyDescent="0.25">
      <c r="A7" s="229">
        <v>21</v>
      </c>
      <c r="B7" s="162" t="s">
        <v>416</v>
      </c>
      <c r="C7" s="214" t="s">
        <v>34</v>
      </c>
      <c r="D7" s="214" t="s">
        <v>342</v>
      </c>
      <c r="E7" s="214" t="s">
        <v>417</v>
      </c>
      <c r="F7" s="230">
        <f>'Свод РЦВК 2020'!I25</f>
        <v>18</v>
      </c>
      <c r="G7" s="271">
        <f>8*60</f>
        <v>480</v>
      </c>
      <c r="H7" s="231">
        <f>8*60</f>
        <v>480</v>
      </c>
      <c r="I7" s="231">
        <f>5*60</f>
        <v>300</v>
      </c>
      <c r="J7" s="231">
        <f>2*60</f>
        <v>120</v>
      </c>
      <c r="K7" s="232">
        <f t="shared" ref="K7:K13" si="0">SUM(G7:J7)</f>
        <v>1380</v>
      </c>
      <c r="L7" s="233">
        <f t="shared" ref="L7:L13" si="1">ROUND((K7*1/60),2)</f>
        <v>23</v>
      </c>
      <c r="M7" s="214" t="s">
        <v>418</v>
      </c>
      <c r="N7" s="234">
        <f>F7*L7</f>
        <v>414</v>
      </c>
    </row>
    <row r="8" spans="1:14" ht="38.25" outlineLevel="1" x14ac:dyDescent="0.25">
      <c r="A8" s="229">
        <v>22</v>
      </c>
      <c r="B8" s="162" t="s">
        <v>419</v>
      </c>
      <c r="C8" s="209" t="s">
        <v>34</v>
      </c>
      <c r="D8" s="214" t="s">
        <v>342</v>
      </c>
      <c r="E8" s="214" t="s">
        <v>417</v>
      </c>
      <c r="F8" s="230">
        <f>'Свод РЦВК 2020'!I26</f>
        <v>1</v>
      </c>
      <c r="G8" s="271">
        <f>8*60</f>
        <v>480</v>
      </c>
      <c r="H8" s="231">
        <f>8*60</f>
        <v>480</v>
      </c>
      <c r="I8" s="231">
        <f>5*60</f>
        <v>300</v>
      </c>
      <c r="J8" s="231">
        <f>2*60</f>
        <v>120</v>
      </c>
      <c r="K8" s="232">
        <f t="shared" si="0"/>
        <v>1380</v>
      </c>
      <c r="L8" s="233">
        <f t="shared" si="1"/>
        <v>23</v>
      </c>
      <c r="M8" s="214" t="s">
        <v>420</v>
      </c>
      <c r="N8" s="234">
        <f t="shared" ref="N8:N13" si="2">F8*L8</f>
        <v>23</v>
      </c>
    </row>
    <row r="9" spans="1:14" ht="63.75" outlineLevel="1" x14ac:dyDescent="0.25">
      <c r="A9" s="229">
        <v>23</v>
      </c>
      <c r="B9" s="162" t="s">
        <v>421</v>
      </c>
      <c r="C9" s="214" t="s">
        <v>31</v>
      </c>
      <c r="D9" s="214" t="s">
        <v>380</v>
      </c>
      <c r="E9" s="214" t="s">
        <v>422</v>
      </c>
      <c r="F9" s="230">
        <f>'Свод РЦВК 2020'!I27</f>
        <v>650</v>
      </c>
      <c r="G9" s="235"/>
      <c r="H9" s="231">
        <f>1.01*60</f>
        <v>60.6</v>
      </c>
      <c r="I9" s="231">
        <f>2*60</f>
        <v>120</v>
      </c>
      <c r="J9" s="231">
        <f>1*60</f>
        <v>60</v>
      </c>
      <c r="K9" s="232">
        <f t="shared" si="0"/>
        <v>240.6</v>
      </c>
      <c r="L9" s="233">
        <f t="shared" si="1"/>
        <v>4.01</v>
      </c>
      <c r="M9" s="214" t="s">
        <v>423</v>
      </c>
      <c r="N9" s="234">
        <f t="shared" si="2"/>
        <v>2606.5</v>
      </c>
    </row>
    <row r="10" spans="1:14" s="172" customFormat="1" ht="38.25" outlineLevel="1" x14ac:dyDescent="0.25">
      <c r="A10" s="229">
        <v>24</v>
      </c>
      <c r="B10" s="236" t="s">
        <v>424</v>
      </c>
      <c r="C10" s="214" t="s">
        <v>31</v>
      </c>
      <c r="D10" s="214" t="s">
        <v>425</v>
      </c>
      <c r="E10" s="214" t="s">
        <v>426</v>
      </c>
      <c r="F10" s="230">
        <f>'Свод РЦВК 2020'!I28</f>
        <v>60</v>
      </c>
      <c r="G10" s="235"/>
      <c r="H10" s="231">
        <v>30</v>
      </c>
      <c r="I10" s="231">
        <f>60*1</f>
        <v>60</v>
      </c>
      <c r="J10" s="231">
        <v>60</v>
      </c>
      <c r="K10" s="232">
        <f t="shared" si="0"/>
        <v>150</v>
      </c>
      <c r="L10" s="233">
        <f t="shared" si="1"/>
        <v>2.5</v>
      </c>
      <c r="M10" s="214" t="s">
        <v>427</v>
      </c>
      <c r="N10" s="234">
        <f t="shared" si="2"/>
        <v>150</v>
      </c>
    </row>
    <row r="11" spans="1:14" s="172" customFormat="1" ht="38.25" outlineLevel="1" x14ac:dyDescent="0.25">
      <c r="A11" s="229">
        <v>25</v>
      </c>
      <c r="B11" s="162" t="s">
        <v>428</v>
      </c>
      <c r="C11" s="214" t="s">
        <v>31</v>
      </c>
      <c r="D11" s="214" t="s">
        <v>425</v>
      </c>
      <c r="E11" s="214" t="s">
        <v>426</v>
      </c>
      <c r="F11" s="230">
        <f>'Свод РЦВК 2020'!I29</f>
        <v>20</v>
      </c>
      <c r="G11" s="235"/>
      <c r="H11" s="231">
        <v>30</v>
      </c>
      <c r="I11" s="231">
        <v>60</v>
      </c>
      <c r="J11" s="231">
        <v>60</v>
      </c>
      <c r="K11" s="232">
        <f t="shared" si="0"/>
        <v>150</v>
      </c>
      <c r="L11" s="233">
        <f t="shared" si="1"/>
        <v>2.5</v>
      </c>
      <c r="M11" s="214" t="s">
        <v>429</v>
      </c>
      <c r="N11" s="234">
        <f t="shared" si="2"/>
        <v>50</v>
      </c>
    </row>
    <row r="12" spans="1:14" ht="102" outlineLevel="1" x14ac:dyDescent="0.25">
      <c r="A12" s="229">
        <v>26</v>
      </c>
      <c r="B12" s="162" t="s">
        <v>430</v>
      </c>
      <c r="C12" s="214" t="s">
        <v>31</v>
      </c>
      <c r="D12" s="214" t="s">
        <v>380</v>
      </c>
      <c r="E12" s="214" t="s">
        <v>422</v>
      </c>
      <c r="F12" s="230">
        <f>'Свод РЦВК 2020'!I30</f>
        <v>100</v>
      </c>
      <c r="G12" s="235"/>
      <c r="H12" s="231">
        <f>0.5*60</f>
        <v>30</v>
      </c>
      <c r="I12" s="231">
        <f>2*60</f>
        <v>120</v>
      </c>
      <c r="J12" s="231">
        <f>2*60</f>
        <v>120</v>
      </c>
      <c r="K12" s="232">
        <f t="shared" si="0"/>
        <v>270</v>
      </c>
      <c r="L12" s="233">
        <f t="shared" si="1"/>
        <v>4.5</v>
      </c>
      <c r="M12" s="214" t="s">
        <v>431</v>
      </c>
      <c r="N12" s="234">
        <f t="shared" si="2"/>
        <v>450</v>
      </c>
    </row>
    <row r="13" spans="1:14" ht="38.25" outlineLevel="1" x14ac:dyDescent="0.25">
      <c r="A13" s="229">
        <v>27</v>
      </c>
      <c r="B13" s="162" t="s">
        <v>432</v>
      </c>
      <c r="C13" s="214" t="s">
        <v>31</v>
      </c>
      <c r="D13" s="214" t="s">
        <v>425</v>
      </c>
      <c r="E13" s="214" t="s">
        <v>426</v>
      </c>
      <c r="F13" s="230">
        <f>'Свод РЦВК 2020'!I31</f>
        <v>10</v>
      </c>
      <c r="G13" s="235"/>
      <c r="H13" s="231">
        <v>60</v>
      </c>
      <c r="I13" s="231">
        <v>60</v>
      </c>
      <c r="J13" s="231">
        <v>60</v>
      </c>
      <c r="K13" s="232">
        <f t="shared" si="0"/>
        <v>180</v>
      </c>
      <c r="L13" s="233">
        <f t="shared" si="1"/>
        <v>3</v>
      </c>
      <c r="M13" s="214"/>
      <c r="N13" s="234">
        <f t="shared" si="2"/>
        <v>30</v>
      </c>
    </row>
    <row r="14" spans="1:14" x14ac:dyDescent="0.25">
      <c r="A14" s="221">
        <v>2</v>
      </c>
      <c r="B14" s="222" t="s">
        <v>433</v>
      </c>
      <c r="C14" s="223"/>
      <c r="D14" s="223"/>
      <c r="E14" s="223"/>
      <c r="F14" s="221"/>
      <c r="G14" s="224"/>
      <c r="H14" s="225"/>
      <c r="I14" s="225"/>
      <c r="J14" s="225"/>
      <c r="K14" s="226"/>
      <c r="L14" s="227"/>
      <c r="M14" s="237"/>
      <c r="N14" s="194"/>
    </row>
    <row r="15" spans="1:14" ht="51" outlineLevel="1" x14ac:dyDescent="0.25">
      <c r="A15" s="229">
        <v>28</v>
      </c>
      <c r="B15" s="162" t="s">
        <v>434</v>
      </c>
      <c r="C15" s="214" t="s">
        <v>34</v>
      </c>
      <c r="D15" s="214" t="s">
        <v>435</v>
      </c>
      <c r="E15" s="214" t="s">
        <v>436</v>
      </c>
      <c r="F15" s="230">
        <f>'Свод РЦВК 2020'!I32</f>
        <v>5</v>
      </c>
      <c r="G15" s="271"/>
      <c r="H15" s="231">
        <f>1*60</f>
        <v>60</v>
      </c>
      <c r="I15" s="231">
        <v>30</v>
      </c>
      <c r="J15" s="231">
        <v>60</v>
      </c>
      <c r="K15" s="232">
        <f>SUM(G15:J15)</f>
        <v>150</v>
      </c>
      <c r="L15" s="233">
        <f>ROUND((K15*1/60),2)</f>
        <v>2.5</v>
      </c>
      <c r="M15" s="214" t="s">
        <v>437</v>
      </c>
      <c r="N15" s="238">
        <f>F15*L15</f>
        <v>12.5</v>
      </c>
    </row>
    <row r="16" spans="1:14" x14ac:dyDescent="0.25">
      <c r="E16" s="239" t="s">
        <v>74</v>
      </c>
      <c r="F16" s="240">
        <f t="shared" ref="F16:L16" si="3">SUM(F7:F15)</f>
        <v>864</v>
      </c>
      <c r="G16" s="240">
        <f t="shared" si="3"/>
        <v>960</v>
      </c>
      <c r="H16" s="240">
        <f t="shared" si="3"/>
        <v>1230.5999999999999</v>
      </c>
      <c r="I16" s="240">
        <f t="shared" si="3"/>
        <v>1050</v>
      </c>
      <c r="J16" s="240">
        <f t="shared" si="3"/>
        <v>660</v>
      </c>
      <c r="K16" s="241">
        <f t="shared" si="3"/>
        <v>3900.6</v>
      </c>
      <c r="L16" s="242">
        <f t="shared" si="3"/>
        <v>65.009999999999991</v>
      </c>
      <c r="M16" s="243"/>
      <c r="N16" s="242">
        <f>SUM(N7:N15)</f>
        <v>3736</v>
      </c>
    </row>
    <row r="17" spans="1:15" x14ac:dyDescent="0.25">
      <c r="N17" s="284">
        <f>N18-N19</f>
        <v>3739.2599999999993</v>
      </c>
      <c r="O17" s="283">
        <f>N17-N16</f>
        <v>3.2599999999993088</v>
      </c>
    </row>
    <row r="18" spans="1:15" x14ac:dyDescent="0.25">
      <c r="F18" s="49">
        <f>'Свод РЦВК 2020'!I38</f>
        <v>864</v>
      </c>
      <c r="N18" s="284">
        <f>3*1780.6</f>
        <v>5341.7999999999993</v>
      </c>
      <c r="O18" s="284" t="s">
        <v>1339</v>
      </c>
    </row>
    <row r="19" spans="1:15" x14ac:dyDescent="0.25">
      <c r="F19" s="270">
        <f>F18-F16</f>
        <v>0</v>
      </c>
      <c r="N19" s="284">
        <f>N18*30%</f>
        <v>1602.5399999999997</v>
      </c>
      <c r="O19" s="283" t="s">
        <v>507</v>
      </c>
    </row>
    <row r="20" spans="1:15" x14ac:dyDescent="0.25">
      <c r="A20" s="116"/>
      <c r="B20" s="210"/>
      <c r="C20" s="210"/>
      <c r="D20" s="210"/>
      <c r="E20" s="210"/>
      <c r="F20" s="210"/>
      <c r="M20" s="210"/>
      <c r="N20" s="284"/>
      <c r="O20" s="285"/>
    </row>
    <row r="21" spans="1:15" collapsed="1" x14ac:dyDescent="0.25">
      <c r="B21" s="48" t="s">
        <v>438</v>
      </c>
      <c r="N21" s="285"/>
      <c r="O21" s="285"/>
    </row>
    <row r="22" spans="1:15" s="172" customFormat="1" ht="76.5" hidden="1" outlineLevel="1" x14ac:dyDescent="0.25">
      <c r="A22" s="244" t="s">
        <v>439</v>
      </c>
      <c r="B22" s="162" t="s">
        <v>440</v>
      </c>
      <c r="C22" s="214" t="s">
        <v>31</v>
      </c>
      <c r="D22" s="214" t="s">
        <v>425</v>
      </c>
      <c r="E22" s="214" t="s">
        <v>426</v>
      </c>
      <c r="F22" s="230">
        <v>5</v>
      </c>
      <c r="G22" s="235"/>
      <c r="H22" s="231">
        <v>60</v>
      </c>
      <c r="I22" s="231">
        <v>60</v>
      </c>
      <c r="J22" s="231">
        <v>30</v>
      </c>
      <c r="K22" s="232">
        <f>SUM(G22:J22)</f>
        <v>150</v>
      </c>
      <c r="L22" s="233">
        <f>ROUND((K22*1/60),2)</f>
        <v>2.5</v>
      </c>
      <c r="M22" s="223" t="s">
        <v>441</v>
      </c>
      <c r="N22" s="286">
        <f>F22*L22</f>
        <v>12.5</v>
      </c>
      <c r="O22" s="287"/>
    </row>
    <row r="23" spans="1:15" ht="38.25" hidden="1" outlineLevel="1" x14ac:dyDescent="0.25">
      <c r="A23" s="244" t="s">
        <v>442</v>
      </c>
      <c r="B23" s="162" t="s">
        <v>443</v>
      </c>
      <c r="C23" s="214" t="s">
        <v>31</v>
      </c>
      <c r="D23" s="214" t="s">
        <v>380</v>
      </c>
      <c r="E23" s="214" t="s">
        <v>422</v>
      </c>
      <c r="F23" s="175">
        <v>0</v>
      </c>
      <c r="G23" s="216"/>
      <c r="H23" s="245"/>
      <c r="I23" s="245"/>
      <c r="J23" s="245"/>
      <c r="K23" s="232">
        <f t="shared" ref="K23:K32" si="4">SUM(G23:J23)</f>
        <v>0</v>
      </c>
      <c r="L23" s="233">
        <f t="shared" ref="L23:L32" si="5">ROUND((K23*1/60),2)</f>
        <v>0</v>
      </c>
      <c r="M23" s="214" t="s">
        <v>444</v>
      </c>
      <c r="N23" s="286">
        <f t="shared" ref="N23:N32" si="6">F23*L23</f>
        <v>0</v>
      </c>
      <c r="O23" s="285"/>
    </row>
    <row r="24" spans="1:15" ht="76.5" hidden="1" outlineLevel="1" x14ac:dyDescent="0.25">
      <c r="A24" s="244" t="s">
        <v>445</v>
      </c>
      <c r="B24" s="162" t="s">
        <v>446</v>
      </c>
      <c r="C24" s="214" t="s">
        <v>31</v>
      </c>
      <c r="D24" s="214" t="s">
        <v>380</v>
      </c>
      <c r="E24" s="214" t="s">
        <v>422</v>
      </c>
      <c r="F24" s="175">
        <v>0</v>
      </c>
      <c r="G24" s="216"/>
      <c r="H24" s="245"/>
      <c r="I24" s="245"/>
      <c r="J24" s="245"/>
      <c r="K24" s="232">
        <f t="shared" si="4"/>
        <v>0</v>
      </c>
      <c r="L24" s="233">
        <f t="shared" si="5"/>
        <v>0</v>
      </c>
      <c r="M24" s="214" t="s">
        <v>447</v>
      </c>
      <c r="N24" s="286">
        <f t="shared" si="6"/>
        <v>0</v>
      </c>
      <c r="O24" s="285"/>
    </row>
    <row r="25" spans="1:15" ht="102" hidden="1" outlineLevel="1" x14ac:dyDescent="0.25">
      <c r="A25" s="244" t="s">
        <v>448</v>
      </c>
      <c r="B25" s="162" t="s">
        <v>449</v>
      </c>
      <c r="C25" s="214" t="s">
        <v>31</v>
      </c>
      <c r="D25" s="214" t="s">
        <v>380</v>
      </c>
      <c r="E25" s="214" t="s">
        <v>422</v>
      </c>
      <c r="F25" s="230">
        <v>0</v>
      </c>
      <c r="G25" s="235"/>
      <c r="H25" s="231">
        <v>240</v>
      </c>
      <c r="I25" s="231">
        <v>60</v>
      </c>
      <c r="J25" s="231">
        <v>120</v>
      </c>
      <c r="K25" s="232">
        <f t="shared" si="4"/>
        <v>420</v>
      </c>
      <c r="L25" s="233">
        <f t="shared" si="5"/>
        <v>7</v>
      </c>
      <c r="M25" s="214" t="s">
        <v>450</v>
      </c>
      <c r="N25" s="286">
        <f t="shared" si="6"/>
        <v>0</v>
      </c>
      <c r="O25" s="285"/>
    </row>
    <row r="26" spans="1:15" ht="76.5" hidden="1" outlineLevel="1" x14ac:dyDescent="0.25">
      <c r="A26" s="244" t="s">
        <v>451</v>
      </c>
      <c r="B26" s="162" t="s">
        <v>452</v>
      </c>
      <c r="C26" s="214" t="s">
        <v>31</v>
      </c>
      <c r="D26" s="214" t="s">
        <v>380</v>
      </c>
      <c r="E26" s="214" t="s">
        <v>422</v>
      </c>
      <c r="F26" s="230">
        <v>0</v>
      </c>
      <c r="G26" s="235"/>
      <c r="H26" s="231"/>
      <c r="I26" s="231"/>
      <c r="J26" s="231"/>
      <c r="K26" s="232">
        <f t="shared" si="4"/>
        <v>0</v>
      </c>
      <c r="L26" s="233">
        <f t="shared" si="5"/>
        <v>0</v>
      </c>
      <c r="M26" s="214" t="s">
        <v>453</v>
      </c>
      <c r="N26" s="286">
        <f t="shared" si="6"/>
        <v>0</v>
      </c>
      <c r="O26" s="285"/>
    </row>
    <row r="27" spans="1:15" ht="76.5" hidden="1" outlineLevel="1" x14ac:dyDescent="0.25">
      <c r="A27" s="244" t="s">
        <v>454</v>
      </c>
      <c r="B27" s="162" t="s">
        <v>455</v>
      </c>
      <c r="C27" s="214" t="s">
        <v>31</v>
      </c>
      <c r="D27" s="214" t="s">
        <v>380</v>
      </c>
      <c r="E27" s="214" t="s">
        <v>422</v>
      </c>
      <c r="F27" s="230">
        <v>0</v>
      </c>
      <c r="G27" s="235"/>
      <c r="H27" s="231"/>
      <c r="I27" s="231"/>
      <c r="J27" s="231"/>
      <c r="K27" s="232">
        <f t="shared" si="4"/>
        <v>0</v>
      </c>
      <c r="L27" s="233">
        <f t="shared" si="5"/>
        <v>0</v>
      </c>
      <c r="M27" s="214" t="s">
        <v>456</v>
      </c>
      <c r="N27" s="286">
        <f t="shared" si="6"/>
        <v>0</v>
      </c>
      <c r="O27" s="285"/>
    </row>
    <row r="28" spans="1:15" ht="38.25" hidden="1" outlineLevel="1" x14ac:dyDescent="0.25">
      <c r="A28" s="244" t="s">
        <v>457</v>
      </c>
      <c r="B28" s="162" t="s">
        <v>458</v>
      </c>
      <c r="C28" s="214" t="s">
        <v>31</v>
      </c>
      <c r="D28" s="214" t="s">
        <v>425</v>
      </c>
      <c r="E28" s="214" t="s">
        <v>426</v>
      </c>
      <c r="F28" s="230">
        <v>0</v>
      </c>
      <c r="G28" s="235"/>
      <c r="H28" s="231"/>
      <c r="I28" s="231"/>
      <c r="J28" s="231"/>
      <c r="K28" s="232">
        <f t="shared" si="4"/>
        <v>0</v>
      </c>
      <c r="L28" s="233">
        <f t="shared" si="5"/>
        <v>0</v>
      </c>
      <c r="M28" s="214"/>
      <c r="N28" s="286">
        <f t="shared" si="6"/>
        <v>0</v>
      </c>
      <c r="O28" s="285"/>
    </row>
    <row r="29" spans="1:15" ht="51" hidden="1" outlineLevel="1" x14ac:dyDescent="0.25">
      <c r="A29" s="175" t="s">
        <v>459</v>
      </c>
      <c r="B29" s="162" t="s">
        <v>460</v>
      </c>
      <c r="C29" s="214" t="s">
        <v>31</v>
      </c>
      <c r="D29" s="214" t="s">
        <v>461</v>
      </c>
      <c r="E29" s="214" t="s">
        <v>417</v>
      </c>
      <c r="F29" s="230">
        <v>0</v>
      </c>
      <c r="G29" s="235"/>
      <c r="H29" s="231"/>
      <c r="I29" s="231"/>
      <c r="J29" s="231"/>
      <c r="K29" s="232">
        <f t="shared" si="4"/>
        <v>0</v>
      </c>
      <c r="L29" s="233">
        <f t="shared" si="5"/>
        <v>0</v>
      </c>
      <c r="M29" s="214" t="s">
        <v>462</v>
      </c>
      <c r="N29" s="286">
        <f t="shared" si="6"/>
        <v>0</v>
      </c>
      <c r="O29" s="285"/>
    </row>
    <row r="30" spans="1:15" ht="51" hidden="1" outlineLevel="1" x14ac:dyDescent="0.25">
      <c r="A30" s="175" t="s">
        <v>463</v>
      </c>
      <c r="B30" s="162" t="s">
        <v>464</v>
      </c>
      <c r="C30" s="214" t="s">
        <v>31</v>
      </c>
      <c r="D30" s="214" t="s">
        <v>461</v>
      </c>
      <c r="E30" s="214" t="s">
        <v>417</v>
      </c>
      <c r="F30" s="230">
        <v>0</v>
      </c>
      <c r="G30" s="235"/>
      <c r="H30" s="231"/>
      <c r="I30" s="231"/>
      <c r="J30" s="231"/>
      <c r="K30" s="232">
        <f t="shared" si="4"/>
        <v>0</v>
      </c>
      <c r="L30" s="233">
        <f t="shared" si="5"/>
        <v>0</v>
      </c>
      <c r="M30" s="214" t="s">
        <v>465</v>
      </c>
      <c r="N30" s="286">
        <f t="shared" si="6"/>
        <v>0</v>
      </c>
      <c r="O30" s="285"/>
    </row>
    <row r="31" spans="1:15" ht="76.5" hidden="1" outlineLevel="1" x14ac:dyDescent="0.25">
      <c r="A31" s="175" t="s">
        <v>466</v>
      </c>
      <c r="B31" s="162" t="s">
        <v>467</v>
      </c>
      <c r="C31" s="214" t="s">
        <v>31</v>
      </c>
      <c r="D31" s="214" t="s">
        <v>468</v>
      </c>
      <c r="E31" s="214" t="s">
        <v>469</v>
      </c>
      <c r="F31" s="230">
        <v>0</v>
      </c>
      <c r="G31" s="235"/>
      <c r="H31" s="231"/>
      <c r="I31" s="231"/>
      <c r="J31" s="231"/>
      <c r="K31" s="232">
        <f t="shared" si="4"/>
        <v>0</v>
      </c>
      <c r="L31" s="233">
        <f t="shared" si="5"/>
        <v>0</v>
      </c>
      <c r="M31" s="214" t="s">
        <v>470</v>
      </c>
      <c r="N31" s="286">
        <f t="shared" si="6"/>
        <v>0</v>
      </c>
      <c r="O31" s="285"/>
    </row>
    <row r="32" spans="1:15" ht="38.25" hidden="1" outlineLevel="1" x14ac:dyDescent="0.25">
      <c r="A32" s="175" t="s">
        <v>471</v>
      </c>
      <c r="B32" s="162" t="s">
        <v>472</v>
      </c>
      <c r="C32" s="214" t="s">
        <v>31</v>
      </c>
      <c r="D32" s="214" t="s">
        <v>461</v>
      </c>
      <c r="E32" s="214" t="s">
        <v>417</v>
      </c>
      <c r="F32" s="230">
        <v>0</v>
      </c>
      <c r="G32" s="235"/>
      <c r="H32" s="231"/>
      <c r="I32" s="231"/>
      <c r="J32" s="231"/>
      <c r="K32" s="232">
        <f t="shared" si="4"/>
        <v>0</v>
      </c>
      <c r="L32" s="233">
        <f t="shared" si="5"/>
        <v>0</v>
      </c>
      <c r="M32" s="214" t="s">
        <v>473</v>
      </c>
      <c r="N32" s="288">
        <f t="shared" si="6"/>
        <v>0</v>
      </c>
      <c r="O32" s="285"/>
    </row>
    <row r="33" spans="14:15" x14ac:dyDescent="0.25">
      <c r="N33" s="285"/>
      <c r="O33" s="285"/>
    </row>
  </sheetData>
  <mergeCells count="12">
    <mergeCell ref="N3:N4"/>
    <mergeCell ref="G5:L5"/>
    <mergeCell ref="A1:M1"/>
    <mergeCell ref="A2:N2"/>
    <mergeCell ref="A3:A4"/>
    <mergeCell ref="B3:B4"/>
    <mergeCell ref="C3:C4"/>
    <mergeCell ref="D3:D4"/>
    <mergeCell ref="E3:E4"/>
    <mergeCell ref="F3:F4"/>
    <mergeCell ref="G3:K3"/>
    <mergeCell ref="M3:M4"/>
  </mergeCells>
  <pageMargins left="0.31496062992125984" right="0.31496062992125984" top="0.35433070866141736" bottom="0.35433070866141736" header="0" footer="0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31" sqref="G31"/>
    </sheetView>
  </sheetViews>
  <sheetFormatPr defaultRowHeight="15" x14ac:dyDescent="0.25"/>
  <cols>
    <col min="1" max="1" width="31.28515625" style="403" customWidth="1"/>
    <col min="2" max="2" width="7.140625" style="401" bestFit="1" customWidth="1"/>
    <col min="3" max="3" width="6.7109375" style="401" hidden="1" customWidth="1"/>
    <col min="4" max="5" width="12.42578125" style="401" customWidth="1"/>
    <col min="6" max="6" width="16" style="401" customWidth="1"/>
    <col min="7" max="7" width="15.5703125" style="401" customWidth="1"/>
    <col min="8" max="8" width="12.42578125" style="401" bestFit="1" customWidth="1"/>
    <col min="9" max="9" width="13.140625" style="401" customWidth="1"/>
    <col min="10" max="10" width="9.140625" style="401"/>
    <col min="11" max="11" width="10" style="401" bestFit="1" customWidth="1"/>
    <col min="12" max="16384" width="9.140625" style="401"/>
  </cols>
  <sheetData>
    <row r="1" spans="1:6" s="116" customFormat="1" ht="30" x14ac:dyDescent="0.25">
      <c r="A1" s="456" t="s">
        <v>705</v>
      </c>
      <c r="B1" s="456" t="s">
        <v>703</v>
      </c>
      <c r="C1" s="456" t="s">
        <v>706</v>
      </c>
      <c r="D1" s="457" t="s">
        <v>325</v>
      </c>
      <c r="E1" s="627" t="s">
        <v>402</v>
      </c>
      <c r="F1" s="456" t="s">
        <v>400</v>
      </c>
    </row>
    <row r="2" spans="1:6" ht="30" x14ac:dyDescent="0.25">
      <c r="A2" s="454" t="s">
        <v>702</v>
      </c>
      <c r="B2" s="455">
        <v>3</v>
      </c>
      <c r="C2" s="455">
        <v>2</v>
      </c>
      <c r="D2" s="458">
        <f>SUM('ШР 01.08.19'!W78:W80)</f>
        <v>108501.102</v>
      </c>
      <c r="E2" s="458"/>
      <c r="F2" s="458">
        <f>SUM('ШР 01.08.19'!H78:H80)</f>
        <v>25057.031999999999</v>
      </c>
    </row>
    <row r="3" spans="1:6" x14ac:dyDescent="0.25">
      <c r="A3" s="454" t="s">
        <v>707</v>
      </c>
      <c r="B3" s="455">
        <v>22</v>
      </c>
      <c r="C3" s="455">
        <v>2</v>
      </c>
      <c r="D3" s="458">
        <f>SUM('ШР 01.08.19'!W83:W92)+'ШР 01.08.19'!W95+'ШР 01.08.19'!W96+'ШР 01.08.19'!W97+'ШР 01.08.19'!W98+'ШР 01.08.19'!W99+'ШР 01.08.19'!W100+'ШР 01.08.19'!W101+'ШР 01.08.19'!W102+'ШР 01.08.19'!W103+'ШР 01.08.19'!W104+'ШР 01.08.19'!W105+'ШР 01.08.19'!W108</f>
        <v>693708.29599999986</v>
      </c>
      <c r="E3" s="458"/>
      <c r="F3" s="458">
        <f>SUM('ШР 01.08.19'!H83:H92)+'ШР 01.08.19'!H95+'ШР 01.08.19'!H96+'ШР 01.08.19'!H97+'ШР 01.08.19'!H98+'ШР 01.08.19'!H99+'ШР 01.08.19'!H100+'ШР 01.08.19'!H101+'ШР 01.08.19'!H102+'ШР 01.08.19'!H103+'ШР 01.08.19'!H104+'ШР 01.08.19'!H105+'ШР 01.08.19'!H108</f>
        <v>152728.576</v>
      </c>
    </row>
    <row r="4" spans="1:6" x14ac:dyDescent="0.25">
      <c r="A4" s="454" t="s">
        <v>708</v>
      </c>
      <c r="B4" s="455">
        <v>6</v>
      </c>
      <c r="C4" s="455"/>
      <c r="D4" s="458">
        <f>SUM('ШР 01.08.19'!W109:W114)</f>
        <v>146890.80800000002</v>
      </c>
      <c r="E4" s="458">
        <f>'ШР 01.08.19'!AB114</f>
        <v>5268.9900000000016</v>
      </c>
      <c r="F4" s="458">
        <f>SUM('ШР 01.08.19'!H109:H114)</f>
        <v>39483.807999999997</v>
      </c>
    </row>
    <row r="5" spans="1:6" x14ac:dyDescent="0.25">
      <c r="A5" s="454" t="s">
        <v>250</v>
      </c>
      <c r="B5" s="455">
        <v>5</v>
      </c>
      <c r="C5" s="455"/>
      <c r="D5" s="458">
        <f>SUM('ШР 01.08.19'!W115:W119)</f>
        <v>156198.32399999999</v>
      </c>
      <c r="E5" s="458"/>
      <c r="F5" s="458">
        <f>SUM('ШР 01.08.19'!H115:H119)</f>
        <v>40351.583999999995</v>
      </c>
    </row>
    <row r="6" spans="1:6" x14ac:dyDescent="0.25">
      <c r="A6" s="454" t="s">
        <v>249</v>
      </c>
      <c r="B6" s="455">
        <v>4</v>
      </c>
      <c r="C6" s="455"/>
      <c r="D6" s="458">
        <f>SUM('ШР 01.08.19'!W121:W124)</f>
        <v>101362</v>
      </c>
      <c r="E6" s="458">
        <f>'ШР 01.08.19'!AB122</f>
        <v>2705.3600000000006</v>
      </c>
      <c r="F6" s="458">
        <f>SUM('ШР 01.08.19'!H121:H124)</f>
        <v>26033.279999999995</v>
      </c>
    </row>
    <row r="7" spans="1:6" x14ac:dyDescent="0.25">
      <c r="A7" s="454" t="s">
        <v>257</v>
      </c>
      <c r="B7" s="455">
        <v>4</v>
      </c>
      <c r="C7" s="455"/>
      <c r="D7" s="458">
        <f>SUM('ШР 01.08.19'!W126:W129)</f>
        <v>110715.624</v>
      </c>
      <c r="E7" s="458">
        <f>'ШР 01.08.19'!AB127</f>
        <v>2606.7700000000041</v>
      </c>
      <c r="F7" s="458">
        <f>SUM('ШР 01.08.19'!H126:H129)</f>
        <v>32216.184000000001</v>
      </c>
    </row>
    <row r="8" spans="1:6" x14ac:dyDescent="0.25">
      <c r="A8" s="454" t="s">
        <v>241</v>
      </c>
      <c r="B8" s="455">
        <v>1</v>
      </c>
      <c r="C8" s="455"/>
      <c r="D8" s="458">
        <f>'ШР 01.08.19'!W130</f>
        <v>42733.68</v>
      </c>
      <c r="E8" s="458"/>
      <c r="F8" s="458">
        <f>SUM('ШР 01.08.19'!H130)</f>
        <v>9762.48</v>
      </c>
    </row>
    <row r="9" spans="1:6" x14ac:dyDescent="0.25">
      <c r="A9" s="454" t="s">
        <v>243</v>
      </c>
      <c r="B9" s="455">
        <v>2</v>
      </c>
      <c r="C9" s="455"/>
      <c r="D9" s="458">
        <f>SUM('ШР 01.08.19'!W132:W133)</f>
        <v>59613.819999999992</v>
      </c>
      <c r="E9" s="458"/>
      <c r="F9" s="458">
        <f>SUM('ШР 01.08.19'!H132:H133)</f>
        <v>15186.079999999998</v>
      </c>
    </row>
    <row r="10" spans="1:6" x14ac:dyDescent="0.25">
      <c r="A10" s="454" t="s">
        <v>252</v>
      </c>
      <c r="B10" s="455">
        <v>1</v>
      </c>
      <c r="C10" s="455"/>
      <c r="D10" s="458">
        <f>'ШР 01.08.19'!W136</f>
        <v>26683.828000000001</v>
      </c>
      <c r="E10" s="458">
        <f>'ШР 01.08.19'!AB136</f>
        <v>2.1720000000022992</v>
      </c>
      <c r="F10" s="458">
        <f>'ШР 01.08.19'!H136</f>
        <v>6399.848</v>
      </c>
    </row>
    <row r="11" spans="1:6" x14ac:dyDescent="0.25">
      <c r="A11" s="454" t="s">
        <v>709</v>
      </c>
      <c r="B11" s="455">
        <v>3</v>
      </c>
      <c r="C11" s="455"/>
      <c r="D11" s="458">
        <f>SUM('ШР 01.08.19'!W137:W139)</f>
        <v>106307.49199999998</v>
      </c>
      <c r="E11" s="458">
        <f>'ШР 01.08.19'!AB139</f>
        <v>727.29200000000128</v>
      </c>
      <c r="F11" s="458">
        <f>SUM('ШР 01.08.19'!H137:H139)</f>
        <v>26141.752</v>
      </c>
    </row>
    <row r="12" spans="1:6" x14ac:dyDescent="0.25">
      <c r="A12" s="454" t="s">
        <v>710</v>
      </c>
      <c r="B12" s="455">
        <v>1</v>
      </c>
      <c r="C12" s="455">
        <v>1</v>
      </c>
      <c r="D12" s="458">
        <f>'ШР 01.08.19'!W140</f>
        <v>32321.420000000002</v>
      </c>
      <c r="E12" s="458"/>
      <c r="F12" s="458">
        <f>'ШР 01.08.19'!H140</f>
        <v>9762.48</v>
      </c>
    </row>
    <row r="13" spans="1:6" x14ac:dyDescent="0.25">
      <c r="A13" s="454" t="s">
        <v>593</v>
      </c>
      <c r="B13" s="455">
        <v>1</v>
      </c>
      <c r="C13" s="455"/>
      <c r="D13" s="458">
        <f>'ШР 01.08.19'!W142</f>
        <v>23269.89</v>
      </c>
      <c r="E13" s="458"/>
      <c r="F13" s="458">
        <f>'ШР 01.08.19'!H142</f>
        <v>5423.5999999999995</v>
      </c>
    </row>
    <row r="14" spans="1:6" x14ac:dyDescent="0.25">
      <c r="A14" s="454" t="s">
        <v>254</v>
      </c>
      <c r="B14" s="455">
        <v>6</v>
      </c>
      <c r="C14" s="455">
        <v>1</v>
      </c>
      <c r="D14" s="458">
        <f>SUM('ШР 01.08.19'!W143:W148)</f>
        <v>173781.872</v>
      </c>
      <c r="E14" s="458"/>
      <c r="F14" s="458">
        <f>SUM('ШР 01.08.19'!H143:H148)</f>
        <v>50005.591999999997</v>
      </c>
    </row>
    <row r="15" spans="1:6" x14ac:dyDescent="0.25">
      <c r="A15" s="454" t="s">
        <v>256</v>
      </c>
      <c r="B15" s="455">
        <v>4</v>
      </c>
      <c r="C15" s="455"/>
      <c r="D15" s="458">
        <f>SUM('ШР 01.08.19'!W150:W153)</f>
        <v>110554.44799999999</v>
      </c>
      <c r="E15" s="458"/>
      <c r="F15" s="458">
        <f>SUM('ШР 01.08.19'!H150:H153)</f>
        <v>30263.688000000002</v>
      </c>
    </row>
    <row r="16" spans="1:6" x14ac:dyDescent="0.25">
      <c r="A16" s="454" t="s">
        <v>255</v>
      </c>
      <c r="B16" s="455">
        <v>5</v>
      </c>
      <c r="C16" s="455">
        <v>2</v>
      </c>
      <c r="D16" s="458">
        <f>SUM('ШР 01.08.19'!W155:W159)</f>
        <v>119775.92</v>
      </c>
      <c r="E16" s="458">
        <f>'ШР 01.08.19'!AB158+'ШР 01.08.19'!AB159</f>
        <v>5230.9900000000016</v>
      </c>
      <c r="F16" s="458">
        <f>SUM('ШР 01.08.19'!H155:H159)</f>
        <v>33083.96</v>
      </c>
    </row>
    <row r="17" spans="1:11" x14ac:dyDescent="0.25">
      <c r="A17" s="454" t="s">
        <v>259</v>
      </c>
      <c r="B17" s="455">
        <v>3</v>
      </c>
      <c r="C17" s="455"/>
      <c r="D17" s="458">
        <f>SUM('ШР 01.08.19'!W160:W162)</f>
        <v>70303.308000000005</v>
      </c>
      <c r="E17" s="458"/>
      <c r="F17" s="458">
        <f>SUM('ШР 01.08.19'!H160:H162)</f>
        <v>21585.928</v>
      </c>
    </row>
    <row r="18" spans="1:11" x14ac:dyDescent="0.25">
      <c r="A18" s="454" t="s">
        <v>258</v>
      </c>
      <c r="B18" s="455">
        <v>4</v>
      </c>
      <c r="C18" s="455"/>
      <c r="D18" s="458">
        <f>SUM('ШР 01.08.19'!W164:W167)</f>
        <v>107920.50599999999</v>
      </c>
      <c r="E18" s="458">
        <f>'ШР 01.08.19'!AB167</f>
        <v>762.99199999999837</v>
      </c>
      <c r="F18" s="458">
        <f>SUM('ШР 01.08.19'!H164:H167)</f>
        <v>29612.856</v>
      </c>
    </row>
    <row r="19" spans="1:11" x14ac:dyDescent="0.25">
      <c r="A19" s="454" t="s">
        <v>251</v>
      </c>
      <c r="B19" s="455">
        <v>5</v>
      </c>
      <c r="C19" s="455">
        <v>1</v>
      </c>
      <c r="D19" s="458">
        <f>SUM('ШР 01.08.19'!W169:W173)</f>
        <v>135550.69399999996</v>
      </c>
      <c r="E19" s="458"/>
      <c r="F19" s="458">
        <f>SUM('ШР 01.08.19'!H169:H173)</f>
        <v>39266.863999999994</v>
      </c>
      <c r="I19" s="626">
        <v>2019</v>
      </c>
      <c r="J19" s="626" t="s">
        <v>1275</v>
      </c>
    </row>
    <row r="20" spans="1:11" x14ac:dyDescent="0.25">
      <c r="A20" s="459"/>
      <c r="B20" s="460">
        <f>SUM(B2:B19)</f>
        <v>80</v>
      </c>
      <c r="C20" s="460">
        <f>SUM(C2:C19)</f>
        <v>9</v>
      </c>
      <c r="D20" s="461">
        <f>SUM(D2:D19)</f>
        <v>2326193.0319999997</v>
      </c>
      <c r="E20" s="461">
        <f>SUM(E2:E19)</f>
        <v>17304.56600000001</v>
      </c>
      <c r="F20" s="461">
        <f>SUM(F2:F19)</f>
        <v>592365.59199999995</v>
      </c>
      <c r="G20" s="458">
        <f>(D20+E20)*12+F20</f>
        <v>28714336.767999999</v>
      </c>
      <c r="H20" s="165">
        <f>G20*1.302</f>
        <v>37386066.471936002</v>
      </c>
      <c r="I20" s="458">
        <v>33499.24</v>
      </c>
      <c r="J20" s="458">
        <f>I20-G20/1000</f>
        <v>4784.9032319999969</v>
      </c>
    </row>
    <row r="21" spans="1:11" ht="5.25" customHeight="1" x14ac:dyDescent="0.25">
      <c r="A21" s="462"/>
      <c r="B21" s="463"/>
      <c r="C21" s="463"/>
      <c r="D21" s="464"/>
      <c r="E21" s="464"/>
      <c r="F21" s="463"/>
    </row>
    <row r="22" spans="1:11" x14ac:dyDescent="0.25">
      <c r="A22" s="454" t="s">
        <v>711</v>
      </c>
      <c r="B22" s="455">
        <v>5</v>
      </c>
      <c r="C22" s="455">
        <v>1</v>
      </c>
      <c r="D22" s="458">
        <f>SUM('ШР 01.08.19'!W175:W179)</f>
        <v>146077.68599999999</v>
      </c>
      <c r="E22" s="458"/>
      <c r="F22" s="458">
        <f>SUM('ШР 01.08.19'!H175:H179)</f>
        <v>35036.455999999998</v>
      </c>
    </row>
    <row r="23" spans="1:11" x14ac:dyDescent="0.25">
      <c r="A23" s="454" t="s">
        <v>712</v>
      </c>
      <c r="B23" s="455">
        <v>4</v>
      </c>
      <c r="C23" s="455"/>
      <c r="D23" s="458">
        <f>SUM('ШР 01.08.19'!W181:W184)</f>
        <v>103196.56599999999</v>
      </c>
      <c r="E23" s="458"/>
      <c r="F23" s="458">
        <f>SUM('ШР 01.08.19'!H181:H184)</f>
        <v>27985.775999999998</v>
      </c>
    </row>
    <row r="24" spans="1:11" x14ac:dyDescent="0.25">
      <c r="A24" s="454" t="s">
        <v>713</v>
      </c>
      <c r="B24" s="455">
        <v>6</v>
      </c>
      <c r="C24" s="455"/>
      <c r="D24" s="458">
        <f>SUM('ШР 01.08.19'!W185:W189)+'ШР 01.08.19'!W192</f>
        <v>172759.984</v>
      </c>
      <c r="E24" s="458"/>
      <c r="F24" s="458">
        <f>SUM('ШР 01.08.19'!H185:H189)+'ШР 01.08.19'!H192</f>
        <v>41436.303999999996</v>
      </c>
    </row>
    <row r="25" spans="1:11" x14ac:dyDescent="0.25">
      <c r="A25" s="454" t="s">
        <v>714</v>
      </c>
      <c r="B25" s="455">
        <v>4</v>
      </c>
      <c r="C25" s="455">
        <v>1</v>
      </c>
      <c r="D25" s="458">
        <f>SUM('ШР 01.08.19'!W196:W199)</f>
        <v>111367.708</v>
      </c>
      <c r="E25" s="458"/>
      <c r="F25" s="458">
        <v>27009.53</v>
      </c>
      <c r="H25" s="165">
        <f>G31</f>
        <v>49567094.099296369</v>
      </c>
      <c r="I25" s="165">
        <f>I20+I28</f>
        <v>43892.99</v>
      </c>
      <c r="J25" s="165">
        <f>H25/1000-I25</f>
        <v>5674.1040992963681</v>
      </c>
    </row>
    <row r="26" spans="1:11" x14ac:dyDescent="0.25">
      <c r="A26" s="459"/>
      <c r="B26" s="460">
        <f>SUM(B22:B25)</f>
        <v>19</v>
      </c>
      <c r="C26" s="460">
        <f>SUM(C22:C25)</f>
        <v>2</v>
      </c>
      <c r="D26" s="461">
        <f>SUM(D22:D25)</f>
        <v>533401.94400000002</v>
      </c>
      <c r="E26" s="461">
        <f>SUM(E22:E25)</f>
        <v>0</v>
      </c>
      <c r="F26" s="461">
        <f>SUM(F22:F25)</f>
        <v>131468.06599999999</v>
      </c>
    </row>
    <row r="27" spans="1:11" x14ac:dyDescent="0.25">
      <c r="A27" s="454" t="s">
        <v>715</v>
      </c>
      <c r="B27" s="455">
        <v>8</v>
      </c>
      <c r="C27" s="455"/>
      <c r="D27" s="458">
        <f>'ШР 01.08.19'!W201+'ШР 01.08.19'!W200+'ШР 01.08.19'!W195+'ШР 01.08.19'!W194+'ШР 01.08.19'!W193+'ШР 01.08.19'!W191+'ШР 01.08.19'!W190+'ШР 01.08.19'!W180</f>
        <v>140005.43999999997</v>
      </c>
      <c r="E27" s="458">
        <f>SUM('ШР 01.08.19'!AB175:AB201)</f>
        <v>20522.930000000008</v>
      </c>
      <c r="F27" s="458">
        <f>'ШР 01.08.19'!H201+'ШР 01.08.19'!H200+'ШР 01.08.19'!H195+'ШР 01.08.19'!H194+'ШР 01.08.19'!H193+'ШР 01.08.19'!H191+'ШР 01.08.19'!H190+'ШР 01.08.19'!H180</f>
        <v>43388.799999999996</v>
      </c>
      <c r="I27" s="626">
        <v>2019</v>
      </c>
      <c r="J27" s="626" t="s">
        <v>1275</v>
      </c>
    </row>
    <row r="28" spans="1:11" x14ac:dyDescent="0.25">
      <c r="A28" s="459"/>
      <c r="B28" s="460">
        <f>SUM(B26:B27)</f>
        <v>27</v>
      </c>
      <c r="C28" s="460">
        <f>SUM(C26:C27)</f>
        <v>2</v>
      </c>
      <c r="D28" s="461">
        <f>SUM(D26:D27)</f>
        <v>673407.38399999996</v>
      </c>
      <c r="E28" s="461">
        <f>SUM(E26:E27)</f>
        <v>20522.930000000008</v>
      </c>
      <c r="F28" s="461">
        <f>SUM(F26:F27)</f>
        <v>174856.86599999998</v>
      </c>
      <c r="G28" s="458">
        <f>(D28+E28)*12+F28</f>
        <v>8502020.6339999996</v>
      </c>
      <c r="H28" s="165">
        <f>G28*1.302</f>
        <v>11069630.865467999</v>
      </c>
      <c r="I28" s="458">
        <v>10393.75</v>
      </c>
      <c r="J28" s="458">
        <f>I28-G28/1000</f>
        <v>1891.7293659999996</v>
      </c>
    </row>
    <row r="29" spans="1:11" x14ac:dyDescent="0.25">
      <c r="A29" s="567" t="s">
        <v>938</v>
      </c>
      <c r="B29" s="455">
        <v>17</v>
      </c>
      <c r="C29" s="455"/>
      <c r="D29" s="458"/>
      <c r="E29" s="458"/>
      <c r="F29" s="455"/>
      <c r="G29" s="165"/>
      <c r="H29" s="118" t="s">
        <v>719</v>
      </c>
      <c r="I29" s="401" t="s">
        <v>717</v>
      </c>
      <c r="J29" s="466">
        <v>1979</v>
      </c>
      <c r="K29" s="165"/>
    </row>
    <row r="30" spans="1:11" x14ac:dyDescent="0.25">
      <c r="A30" s="454"/>
      <c r="B30" s="455">
        <f>B28+B20</f>
        <v>107</v>
      </c>
      <c r="C30" s="455">
        <f>C28+C20</f>
        <v>11</v>
      </c>
      <c r="D30" s="458"/>
      <c r="E30" s="458"/>
      <c r="F30" s="455"/>
      <c r="G30" s="165">
        <f>G28+G20</f>
        <v>37216357.401999995</v>
      </c>
      <c r="H30" s="118" t="s">
        <v>720</v>
      </c>
      <c r="I30" s="401" t="s">
        <v>718</v>
      </c>
      <c r="J30" s="401">
        <v>1780.6</v>
      </c>
      <c r="K30" s="165">
        <f>B30*J30</f>
        <v>190524.19999999998</v>
      </c>
    </row>
    <row r="31" spans="1:11" x14ac:dyDescent="0.25">
      <c r="A31" s="454"/>
      <c r="B31" s="455">
        <f>B30-C30</f>
        <v>96</v>
      </c>
      <c r="C31" s="455"/>
      <c r="D31" s="458"/>
      <c r="E31" s="458"/>
      <c r="F31" s="455"/>
      <c r="G31" s="165">
        <f>G30*1.302*G32</f>
        <v>49567094.099296369</v>
      </c>
      <c r="K31" s="165">
        <f>SUM(K29:K30)</f>
        <v>190524.19999999998</v>
      </c>
    </row>
    <row r="32" spans="1:11" x14ac:dyDescent="0.25">
      <c r="A32" s="454"/>
      <c r="B32" s="568">
        <f>B30+B29</f>
        <v>124</v>
      </c>
      <c r="C32" s="455"/>
      <c r="D32" s="458"/>
      <c r="E32" s="458"/>
      <c r="F32" s="455"/>
      <c r="G32" s="401">
        <v>1.0229363485196292</v>
      </c>
    </row>
    <row r="34" spans="1:8" ht="112.5" customHeight="1" x14ac:dyDescent="0.25">
      <c r="A34" s="1024" t="s">
        <v>1276</v>
      </c>
      <c r="B34" s="1025"/>
      <c r="C34" s="1025"/>
      <c r="D34" s="1025"/>
      <c r="E34" s="1025"/>
      <c r="F34" s="1025"/>
      <c r="G34" s="165">
        <f>ROUND(G31/K31,2)</f>
        <v>260.16000000000003</v>
      </c>
    </row>
    <row r="36" spans="1:8" ht="91.5" customHeight="1" x14ac:dyDescent="0.25">
      <c r="A36" s="1024" t="s">
        <v>721</v>
      </c>
      <c r="B36" s="1025"/>
      <c r="C36" s="1025"/>
      <c r="D36" s="1025"/>
      <c r="E36" s="1025"/>
      <c r="F36" s="1025"/>
      <c r="G36" s="401" t="s">
        <v>384</v>
      </c>
      <c r="H36" s="401">
        <v>225.01</v>
      </c>
    </row>
    <row r="37" spans="1:8" x14ac:dyDescent="0.25">
      <c r="A37" s="465"/>
      <c r="H37" s="401">
        <f>(H36+H38)/2</f>
        <v>273.61</v>
      </c>
    </row>
    <row r="38" spans="1:8" ht="91.5" customHeight="1" x14ac:dyDescent="0.25">
      <c r="A38" s="1026" t="s">
        <v>716</v>
      </c>
      <c r="B38" s="1027"/>
      <c r="C38" s="1027"/>
      <c r="D38" s="1027"/>
      <c r="E38" s="1027"/>
      <c r="F38" s="1027"/>
      <c r="G38" s="401" t="s">
        <v>385</v>
      </c>
      <c r="H38" s="401">
        <v>322.20999999999998</v>
      </c>
    </row>
  </sheetData>
  <mergeCells count="3">
    <mergeCell ref="A34:F34"/>
    <mergeCell ref="A36:F36"/>
    <mergeCell ref="A38:F3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" sqref="L1:L1048576"/>
    </sheetView>
  </sheetViews>
  <sheetFormatPr defaultRowHeight="15" outlineLevelRow="1" x14ac:dyDescent="0.25"/>
  <cols>
    <col min="1" max="1" width="4.140625" customWidth="1"/>
    <col min="2" max="2" width="25.7109375" customWidth="1"/>
    <col min="3" max="3" width="16.140625" customWidth="1"/>
    <col min="4" max="4" width="13.85546875" customWidth="1"/>
    <col min="5" max="5" width="14.140625" customWidth="1"/>
    <col min="6" max="6" width="18.85546875" customWidth="1"/>
    <col min="7" max="7" width="16.5703125" bestFit="1" customWidth="1"/>
    <col min="8" max="8" width="19.7109375" customWidth="1"/>
    <col min="9" max="9" width="15.5703125" customWidth="1"/>
    <col min="10" max="10" width="14.85546875" customWidth="1"/>
    <col min="11" max="11" width="29.42578125" customWidth="1"/>
    <col min="12" max="12" width="11.28515625" hidden="1" customWidth="1"/>
    <col min="13" max="13" width="10.7109375" bestFit="1" customWidth="1"/>
  </cols>
  <sheetData>
    <row r="1" spans="1:13" x14ac:dyDescent="0.25">
      <c r="A1" s="1143" t="s">
        <v>1409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3" ht="6" customHeight="1" x14ac:dyDescent="0.25"/>
    <row r="3" spans="1:13" ht="15" customHeight="1" x14ac:dyDescent="0.25">
      <c r="A3" s="1158" t="s">
        <v>0</v>
      </c>
      <c r="B3" s="1158" t="s">
        <v>62</v>
      </c>
      <c r="C3" s="1158" t="s">
        <v>1419</v>
      </c>
      <c r="D3" s="1158" t="s">
        <v>1430</v>
      </c>
      <c r="E3" s="1158"/>
      <c r="F3" s="1158"/>
      <c r="G3" s="1158"/>
      <c r="H3" s="1156" t="s">
        <v>1436</v>
      </c>
      <c r="I3" s="1158" t="s">
        <v>1428</v>
      </c>
      <c r="J3" s="1158" t="s">
        <v>3</v>
      </c>
      <c r="K3" s="1145" t="s">
        <v>4</v>
      </c>
    </row>
    <row r="4" spans="1:13" x14ac:dyDescent="0.25">
      <c r="A4" s="1158"/>
      <c r="B4" s="1158"/>
      <c r="C4" s="1158"/>
      <c r="D4" s="1157" t="s">
        <v>944</v>
      </c>
      <c r="E4" s="1158" t="s">
        <v>1420</v>
      </c>
      <c r="F4" s="1158"/>
      <c r="G4" s="1158"/>
      <c r="H4" s="1156"/>
      <c r="I4" s="1158"/>
      <c r="J4" s="1158"/>
      <c r="K4" s="1145"/>
    </row>
    <row r="5" spans="1:13" ht="38.25" x14ac:dyDescent="0.25">
      <c r="A5" s="1158"/>
      <c r="B5" s="1158"/>
      <c r="C5" s="1158"/>
      <c r="D5" s="1157"/>
      <c r="E5" s="967" t="s">
        <v>1421</v>
      </c>
      <c r="F5" s="967" t="s">
        <v>1422</v>
      </c>
      <c r="G5" s="967" t="s">
        <v>1423</v>
      </c>
      <c r="H5" s="1156"/>
      <c r="I5" s="1158"/>
      <c r="J5" s="1158"/>
      <c r="K5" s="1145"/>
    </row>
    <row r="6" spans="1:13" s="961" customFormat="1" ht="11.25" x14ac:dyDescent="0.2">
      <c r="A6" s="957">
        <v>1</v>
      </c>
      <c r="B6" s="957">
        <v>2</v>
      </c>
      <c r="C6" s="957">
        <v>3</v>
      </c>
      <c r="D6" s="957" t="s">
        <v>1433</v>
      </c>
      <c r="E6" s="957">
        <v>5</v>
      </c>
      <c r="F6" s="957">
        <v>6</v>
      </c>
      <c r="G6" s="957">
        <v>7</v>
      </c>
      <c r="H6" s="957" t="s">
        <v>1432</v>
      </c>
      <c r="I6" s="957">
        <v>9</v>
      </c>
      <c r="J6" s="957" t="s">
        <v>1434</v>
      </c>
      <c r="K6" s="957">
        <v>11</v>
      </c>
    </row>
    <row r="7" spans="1:13" ht="51" outlineLevel="1" x14ac:dyDescent="0.25">
      <c r="A7" s="958">
        <v>1</v>
      </c>
      <c r="B7" s="959" t="s">
        <v>1424</v>
      </c>
      <c r="C7" s="1168">
        <f>1+3</f>
        <v>4</v>
      </c>
      <c r="D7" s="960">
        <f>E7+F7+G7</f>
        <v>40084.175833333335</v>
      </c>
      <c r="E7" s="960">
        <v>11119</v>
      </c>
      <c r="F7" s="960">
        <v>13561.147499999999</v>
      </c>
      <c r="G7" s="960">
        <v>15404.028333333334</v>
      </c>
      <c r="H7" s="960">
        <f>C7*D7*12</f>
        <v>1924040.44</v>
      </c>
      <c r="I7" s="962">
        <f>'Свод РЦВК 2020'!I37</f>
        <v>26</v>
      </c>
      <c r="J7" s="960">
        <f>H7/I7</f>
        <v>74001.555384615378</v>
      </c>
      <c r="K7" s="1173" t="s">
        <v>1447</v>
      </c>
    </row>
    <row r="8" spans="1:13" ht="63.75" outlineLevel="1" x14ac:dyDescent="0.25">
      <c r="A8" s="958">
        <v>2</v>
      </c>
      <c r="B8" s="959" t="s">
        <v>1427</v>
      </c>
      <c r="C8" s="1169"/>
      <c r="D8" s="960">
        <f t="shared" ref="D8" si="0">E8+F8+G8</f>
        <v>12105.421101666667</v>
      </c>
      <c r="E8" s="960">
        <f>E7*30.2%</f>
        <v>3357.9380000000001</v>
      </c>
      <c r="F8" s="960">
        <f t="shared" ref="F8:G8" si="1">F7*30.2%</f>
        <v>4095.4665449999998</v>
      </c>
      <c r="G8" s="960">
        <f t="shared" si="1"/>
        <v>4652.0165566666665</v>
      </c>
      <c r="H8" s="960">
        <f>C7*D8*12</f>
        <v>581060.21288000001</v>
      </c>
      <c r="I8" s="481">
        <f>$I$7</f>
        <v>26</v>
      </c>
      <c r="J8" s="960">
        <f>H8/I8</f>
        <v>22348.469726153846</v>
      </c>
      <c r="K8" s="1174"/>
    </row>
    <row r="9" spans="1:13" x14ac:dyDescent="0.25">
      <c r="A9" s="1098" t="s">
        <v>8</v>
      </c>
      <c r="B9" s="1098"/>
      <c r="C9" s="1098"/>
      <c r="D9" s="1098"/>
      <c r="E9" s="1098"/>
      <c r="F9" s="1098"/>
      <c r="G9" s="1098"/>
      <c r="H9" s="964">
        <f>H7+H8</f>
        <v>2505100.65288</v>
      </c>
      <c r="I9" s="964">
        <f>I7</f>
        <v>26</v>
      </c>
      <c r="J9" s="964">
        <f t="shared" ref="J9" si="2">J7+J8</f>
        <v>96350.025110769231</v>
      </c>
      <c r="K9" s="963"/>
      <c r="L9" s="499">
        <f>№32!J7-'№32 раб.'!H9</f>
        <v>-2.8800000436604023E-3</v>
      </c>
    </row>
    <row r="10" spans="1:13" x14ac:dyDescent="0.25">
      <c r="A10" s="1146" t="s">
        <v>1425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8"/>
    </row>
    <row r="11" spans="1:13" ht="63.75" x14ac:dyDescent="0.25">
      <c r="A11" s="966" t="s">
        <v>0</v>
      </c>
      <c r="B11" s="1153" t="s">
        <v>1431</v>
      </c>
      <c r="C11" s="1154"/>
      <c r="D11" s="1155"/>
      <c r="E11" s="1149" t="s">
        <v>1429</v>
      </c>
      <c r="F11" s="1150"/>
      <c r="G11" s="477" t="s">
        <v>939</v>
      </c>
      <c r="H11" s="476" t="s">
        <v>1436</v>
      </c>
      <c r="I11" s="476" t="s">
        <v>1428</v>
      </c>
      <c r="J11" s="477" t="s">
        <v>3</v>
      </c>
      <c r="K11" s="477" t="s">
        <v>4</v>
      </c>
    </row>
    <row r="12" spans="1:13" s="961" customFormat="1" ht="11.25" x14ac:dyDescent="0.2">
      <c r="A12" s="957">
        <v>1</v>
      </c>
      <c r="B12" s="1170">
        <v>2</v>
      </c>
      <c r="C12" s="1171"/>
      <c r="D12" s="1172"/>
      <c r="E12" s="1170">
        <v>3</v>
      </c>
      <c r="F12" s="1172"/>
      <c r="G12" s="957">
        <v>4</v>
      </c>
      <c r="H12" s="957">
        <v>5</v>
      </c>
      <c r="I12" s="957">
        <v>6</v>
      </c>
      <c r="J12" s="957">
        <v>7</v>
      </c>
      <c r="K12" s="957">
        <v>8</v>
      </c>
      <c r="L12" s="1166"/>
      <c r="M12" s="1167"/>
    </row>
    <row r="13" spans="1:13" outlineLevel="1" x14ac:dyDescent="0.25">
      <c r="A13" s="958">
        <v>1</v>
      </c>
      <c r="B13" s="1159" t="s">
        <v>1444</v>
      </c>
      <c r="C13" s="1160"/>
      <c r="D13" s="1161"/>
      <c r="E13" s="1162">
        <v>12</v>
      </c>
      <c r="F13" s="1163"/>
      <c r="G13" s="960">
        <f>H13/E13</f>
        <v>353.83333333333331</v>
      </c>
      <c r="H13" s="960">
        <v>4246</v>
      </c>
      <c r="I13" s="481">
        <f>$I$7</f>
        <v>26</v>
      </c>
      <c r="J13" s="960">
        <f>H13/I13</f>
        <v>163.30769230769232</v>
      </c>
      <c r="K13" s="1191" t="s">
        <v>1443</v>
      </c>
      <c r="L13" s="165"/>
      <c r="M13" s="165"/>
    </row>
    <row r="14" spans="1:13" outlineLevel="1" x14ac:dyDescent="0.25">
      <c r="A14" s="958">
        <v>2</v>
      </c>
      <c r="B14" s="1159" t="s">
        <v>1322</v>
      </c>
      <c r="C14" s="1160"/>
      <c r="D14" s="1161"/>
      <c r="E14" s="1162"/>
      <c r="F14" s="1163"/>
      <c r="G14" s="960"/>
      <c r="H14" s="960">
        <v>46000</v>
      </c>
      <c r="I14" s="481">
        <f t="shared" ref="I14:I44" si="3">$I$7</f>
        <v>26</v>
      </c>
      <c r="J14" s="960">
        <f t="shared" ref="J14:J15" si="4">H14/I14</f>
        <v>1769.2307692307693</v>
      </c>
      <c r="K14" s="1192"/>
      <c r="L14" s="165"/>
      <c r="M14" s="165"/>
    </row>
    <row r="15" spans="1:13" outlineLevel="1" x14ac:dyDescent="0.25">
      <c r="A15" s="958">
        <v>3</v>
      </c>
      <c r="B15" s="1159" t="s">
        <v>1323</v>
      </c>
      <c r="C15" s="1160"/>
      <c r="D15" s="1161"/>
      <c r="E15" s="1162"/>
      <c r="F15" s="1163"/>
      <c r="G15" s="960"/>
      <c r="H15" s="960">
        <v>191700</v>
      </c>
      <c r="I15" s="481">
        <f t="shared" si="3"/>
        <v>26</v>
      </c>
      <c r="J15" s="960">
        <f t="shared" si="4"/>
        <v>7373.0769230769229</v>
      </c>
      <c r="K15" s="1192"/>
      <c r="L15" s="165"/>
      <c r="M15" s="165"/>
    </row>
    <row r="16" spans="1:13" outlineLevel="1" x14ac:dyDescent="0.25">
      <c r="A16" s="958">
        <v>4</v>
      </c>
      <c r="B16" s="1159" t="s">
        <v>1324</v>
      </c>
      <c r="C16" s="1160"/>
      <c r="D16" s="1161"/>
      <c r="E16" s="1162"/>
      <c r="F16" s="1163"/>
      <c r="G16" s="960"/>
      <c r="H16" s="960">
        <v>1000</v>
      </c>
      <c r="I16" s="481">
        <f t="shared" si="3"/>
        <v>26</v>
      </c>
      <c r="J16" s="960">
        <f t="shared" ref="J16:J44" si="5">H16/I16</f>
        <v>38.46153846153846</v>
      </c>
      <c r="K16" s="1192"/>
      <c r="L16" s="165"/>
      <c r="M16" s="165"/>
    </row>
    <row r="17" spans="1:13" outlineLevel="1" x14ac:dyDescent="0.25">
      <c r="A17" s="958">
        <v>5</v>
      </c>
      <c r="B17" s="1159" t="s">
        <v>1325</v>
      </c>
      <c r="C17" s="1160"/>
      <c r="D17" s="1161"/>
      <c r="E17" s="1162"/>
      <c r="F17" s="1163"/>
      <c r="G17" s="960"/>
      <c r="H17" s="960">
        <v>250</v>
      </c>
      <c r="I17" s="481">
        <f t="shared" si="3"/>
        <v>26</v>
      </c>
      <c r="J17" s="960">
        <f t="shared" si="5"/>
        <v>9.615384615384615</v>
      </c>
      <c r="K17" s="1192"/>
      <c r="L17" s="165"/>
      <c r="M17" s="165"/>
    </row>
    <row r="18" spans="1:13" outlineLevel="1" x14ac:dyDescent="0.25">
      <c r="A18" s="958">
        <v>6</v>
      </c>
      <c r="B18" s="1159" t="s">
        <v>508</v>
      </c>
      <c r="C18" s="1160"/>
      <c r="D18" s="1161"/>
      <c r="E18" s="1162"/>
      <c r="F18" s="1163"/>
      <c r="G18" s="960"/>
      <c r="H18" s="974">
        <f>24300</f>
        <v>24300</v>
      </c>
      <c r="I18" s="481">
        <f t="shared" si="3"/>
        <v>26</v>
      </c>
      <c r="J18" s="960">
        <f t="shared" si="5"/>
        <v>934.61538461538464</v>
      </c>
      <c r="K18" s="1192"/>
      <c r="L18" s="165"/>
      <c r="M18" s="165"/>
    </row>
    <row r="19" spans="1:13" outlineLevel="1" x14ac:dyDescent="0.25">
      <c r="A19" s="958">
        <v>7</v>
      </c>
      <c r="B19" s="1159" t="s">
        <v>1445</v>
      </c>
      <c r="C19" s="1160"/>
      <c r="D19" s="1161"/>
      <c r="E19" s="1162"/>
      <c r="F19" s="1163"/>
      <c r="G19" s="960"/>
      <c r="H19" s="974">
        <f>24200</f>
        <v>24200</v>
      </c>
      <c r="I19" s="481">
        <f t="shared" si="3"/>
        <v>26</v>
      </c>
      <c r="J19" s="960">
        <f t="shared" si="5"/>
        <v>930.76923076923072</v>
      </c>
      <c r="K19" s="1192"/>
      <c r="L19" s="165"/>
      <c r="M19" s="165"/>
    </row>
    <row r="20" spans="1:13" ht="30" customHeight="1" outlineLevel="1" x14ac:dyDescent="0.25">
      <c r="A20" s="958">
        <v>8</v>
      </c>
      <c r="B20" s="1159" t="s">
        <v>1330</v>
      </c>
      <c r="C20" s="1160"/>
      <c r="D20" s="1161"/>
      <c r="E20" s="1162"/>
      <c r="F20" s="1163"/>
      <c r="G20" s="960"/>
      <c r="H20" s="960">
        <v>99000</v>
      </c>
      <c r="I20" s="481">
        <f t="shared" si="3"/>
        <v>26</v>
      </c>
      <c r="J20" s="960">
        <f t="shared" si="5"/>
        <v>3807.6923076923076</v>
      </c>
      <c r="K20" s="1192"/>
      <c r="L20" s="165"/>
      <c r="M20" s="165"/>
    </row>
    <row r="21" spans="1:13" ht="30" customHeight="1" outlineLevel="1" x14ac:dyDescent="0.25">
      <c r="A21" s="958">
        <v>9</v>
      </c>
      <c r="B21" s="1159" t="s">
        <v>1330</v>
      </c>
      <c r="C21" s="1160"/>
      <c r="D21" s="1161"/>
      <c r="E21" s="1162"/>
      <c r="F21" s="1163"/>
      <c r="G21" s="960"/>
      <c r="H21" s="960">
        <v>141000</v>
      </c>
      <c r="I21" s="481">
        <f t="shared" si="3"/>
        <v>26</v>
      </c>
      <c r="J21" s="960">
        <f t="shared" si="5"/>
        <v>5423.0769230769229</v>
      </c>
      <c r="K21" s="1192"/>
      <c r="L21" s="165"/>
      <c r="M21" s="165"/>
    </row>
    <row r="22" spans="1:13" ht="30" customHeight="1" outlineLevel="1" x14ac:dyDescent="0.25">
      <c r="A22" s="958">
        <v>10</v>
      </c>
      <c r="B22" s="1159" t="s">
        <v>1330</v>
      </c>
      <c r="C22" s="1160"/>
      <c r="D22" s="1161"/>
      <c r="E22" s="1162"/>
      <c r="F22" s="1163"/>
      <c r="G22" s="960"/>
      <c r="H22" s="960">
        <v>240000</v>
      </c>
      <c r="I22" s="481">
        <f t="shared" si="3"/>
        <v>26</v>
      </c>
      <c r="J22" s="960">
        <f t="shared" si="5"/>
        <v>9230.7692307692305</v>
      </c>
      <c r="K22" s="1192"/>
      <c r="L22" s="165"/>
      <c r="M22" s="165"/>
    </row>
    <row r="23" spans="1:13" outlineLevel="1" x14ac:dyDescent="0.25">
      <c r="A23" s="958">
        <v>11</v>
      </c>
      <c r="B23" s="1159" t="s">
        <v>1328</v>
      </c>
      <c r="C23" s="1160"/>
      <c r="D23" s="1161"/>
      <c r="E23" s="1162"/>
      <c r="F23" s="1163"/>
      <c r="G23" s="960"/>
      <c r="H23" s="960">
        <v>22000</v>
      </c>
      <c r="I23" s="481">
        <f t="shared" si="3"/>
        <v>26</v>
      </c>
      <c r="J23" s="960">
        <f t="shared" si="5"/>
        <v>846.15384615384619</v>
      </c>
      <c r="K23" s="1192"/>
      <c r="L23" s="165"/>
      <c r="M23" s="165"/>
    </row>
    <row r="24" spans="1:13" outlineLevel="1" x14ac:dyDescent="0.25">
      <c r="A24" s="958">
        <v>12</v>
      </c>
      <c r="B24" s="1159" t="s">
        <v>1329</v>
      </c>
      <c r="C24" s="1160"/>
      <c r="D24" s="1161"/>
      <c r="E24" s="1162"/>
      <c r="F24" s="1163"/>
      <c r="G24" s="960"/>
      <c r="H24" s="960">
        <v>331000</v>
      </c>
      <c r="I24" s="481">
        <f t="shared" si="3"/>
        <v>26</v>
      </c>
      <c r="J24" s="960">
        <f t="shared" si="5"/>
        <v>12730.76923076923</v>
      </c>
      <c r="K24" s="1192"/>
      <c r="L24" s="165"/>
      <c r="M24" s="165"/>
    </row>
    <row r="25" spans="1:13" outlineLevel="1" x14ac:dyDescent="0.25">
      <c r="A25" s="958">
        <v>13</v>
      </c>
      <c r="B25" s="1159" t="s">
        <v>1331</v>
      </c>
      <c r="C25" s="1160"/>
      <c r="D25" s="1161"/>
      <c r="E25" s="1162"/>
      <c r="F25" s="1163"/>
      <c r="G25" s="960"/>
      <c r="H25" s="960">
        <v>43000</v>
      </c>
      <c r="I25" s="481">
        <f t="shared" si="3"/>
        <v>26</v>
      </c>
      <c r="J25" s="960">
        <f t="shared" si="5"/>
        <v>1653.8461538461538</v>
      </c>
      <c r="K25" s="1192"/>
      <c r="L25" s="165"/>
      <c r="M25" s="165"/>
    </row>
    <row r="26" spans="1:13" outlineLevel="1" x14ac:dyDescent="0.25">
      <c r="A26" s="958">
        <v>14</v>
      </c>
      <c r="B26" s="1159" t="s">
        <v>1331</v>
      </c>
      <c r="C26" s="1160"/>
      <c r="D26" s="1161"/>
      <c r="E26" s="1162"/>
      <c r="F26" s="1163"/>
      <c r="G26" s="960"/>
      <c r="H26" s="960">
        <v>8200</v>
      </c>
      <c r="I26" s="481">
        <f t="shared" si="3"/>
        <v>26</v>
      </c>
      <c r="J26" s="960">
        <f t="shared" si="5"/>
        <v>315.38461538461536</v>
      </c>
      <c r="K26" s="1192"/>
      <c r="L26" s="165"/>
      <c r="M26" s="165"/>
    </row>
    <row r="27" spans="1:13" outlineLevel="1" x14ac:dyDescent="0.25">
      <c r="A27" s="958">
        <v>15</v>
      </c>
      <c r="B27" s="1159" t="s">
        <v>1332</v>
      </c>
      <c r="C27" s="1160"/>
      <c r="D27" s="1161"/>
      <c r="E27" s="1162"/>
      <c r="F27" s="1163"/>
      <c r="G27" s="960"/>
      <c r="H27" s="960">
        <v>91000</v>
      </c>
      <c r="I27" s="481">
        <f t="shared" si="3"/>
        <v>26</v>
      </c>
      <c r="J27" s="960">
        <f t="shared" si="5"/>
        <v>3500</v>
      </c>
      <c r="K27" s="1192"/>
      <c r="L27" s="165"/>
      <c r="M27" s="165"/>
    </row>
    <row r="28" spans="1:13" outlineLevel="1" x14ac:dyDescent="0.25">
      <c r="A28" s="958">
        <v>16</v>
      </c>
      <c r="B28" s="1159" t="s">
        <v>1332</v>
      </c>
      <c r="C28" s="1160"/>
      <c r="D28" s="1161"/>
      <c r="E28" s="1162"/>
      <c r="F28" s="1163"/>
      <c r="G28" s="960"/>
      <c r="H28" s="960">
        <v>80000</v>
      </c>
      <c r="I28" s="481">
        <f t="shared" si="3"/>
        <v>26</v>
      </c>
      <c r="J28" s="960">
        <f t="shared" si="5"/>
        <v>3076.9230769230771</v>
      </c>
      <c r="K28" s="1192"/>
      <c r="L28" s="165"/>
      <c r="M28" s="165"/>
    </row>
    <row r="29" spans="1:13" outlineLevel="1" x14ac:dyDescent="0.25">
      <c r="A29" s="958">
        <v>17</v>
      </c>
      <c r="B29" s="1159" t="s">
        <v>1333</v>
      </c>
      <c r="C29" s="1160"/>
      <c r="D29" s="1161"/>
      <c r="E29" s="1162"/>
      <c r="F29" s="1163"/>
      <c r="G29" s="960"/>
      <c r="H29" s="960">
        <v>13000</v>
      </c>
      <c r="I29" s="481">
        <f t="shared" si="3"/>
        <v>26</v>
      </c>
      <c r="J29" s="960">
        <f t="shared" si="5"/>
        <v>500</v>
      </c>
      <c r="K29" s="1192"/>
      <c r="L29" s="165"/>
      <c r="M29" s="165"/>
    </row>
    <row r="30" spans="1:13" outlineLevel="1" x14ac:dyDescent="0.25">
      <c r="A30" s="958">
        <v>18</v>
      </c>
      <c r="B30" s="1159" t="s">
        <v>1334</v>
      </c>
      <c r="C30" s="1160"/>
      <c r="D30" s="1161"/>
      <c r="E30" s="1162"/>
      <c r="F30" s="1163"/>
      <c r="G30" s="960"/>
      <c r="H30" s="960">
        <v>3000</v>
      </c>
      <c r="I30" s="481">
        <f t="shared" si="3"/>
        <v>26</v>
      </c>
      <c r="J30" s="960">
        <f t="shared" si="5"/>
        <v>115.38461538461539</v>
      </c>
      <c r="K30" s="1192"/>
      <c r="L30" s="165"/>
      <c r="M30" s="165"/>
    </row>
    <row r="31" spans="1:13" outlineLevel="1" x14ac:dyDescent="0.25">
      <c r="A31" s="958">
        <v>19</v>
      </c>
      <c r="B31" s="1159" t="s">
        <v>1334</v>
      </c>
      <c r="C31" s="1160"/>
      <c r="D31" s="1161"/>
      <c r="E31" s="1162"/>
      <c r="F31" s="1163"/>
      <c r="G31" s="960"/>
      <c r="H31" s="960">
        <v>3000</v>
      </c>
      <c r="I31" s="481">
        <f t="shared" si="3"/>
        <v>26</v>
      </c>
      <c r="J31" s="960">
        <f t="shared" si="5"/>
        <v>115.38461538461539</v>
      </c>
      <c r="K31" s="1192"/>
      <c r="L31" s="165"/>
      <c r="M31" s="165"/>
    </row>
    <row r="32" spans="1:13" outlineLevel="1" x14ac:dyDescent="0.25">
      <c r="A32" s="958">
        <v>20</v>
      </c>
      <c r="B32" s="1159" t="s">
        <v>1335</v>
      </c>
      <c r="C32" s="1160"/>
      <c r="D32" s="1161"/>
      <c r="E32" s="1162"/>
      <c r="F32" s="1163"/>
      <c r="G32" s="960"/>
      <c r="H32" s="960">
        <v>3000</v>
      </c>
      <c r="I32" s="481">
        <f t="shared" si="3"/>
        <v>26</v>
      </c>
      <c r="J32" s="960">
        <f t="shared" si="5"/>
        <v>115.38461538461539</v>
      </c>
      <c r="K32" s="1192"/>
      <c r="L32" s="165"/>
      <c r="M32" s="165"/>
    </row>
    <row r="33" spans="1:13" outlineLevel="1" x14ac:dyDescent="0.25">
      <c r="A33" s="958">
        <v>21</v>
      </c>
      <c r="B33" s="1159" t="s">
        <v>1335</v>
      </c>
      <c r="C33" s="1160"/>
      <c r="D33" s="1161"/>
      <c r="E33" s="1162"/>
      <c r="F33" s="1163"/>
      <c r="G33" s="960"/>
      <c r="H33" s="960">
        <v>3000</v>
      </c>
      <c r="I33" s="481">
        <f t="shared" si="3"/>
        <v>26</v>
      </c>
      <c r="J33" s="960">
        <f t="shared" si="5"/>
        <v>115.38461538461539</v>
      </c>
      <c r="K33" s="1192"/>
      <c r="L33" s="165"/>
      <c r="M33" s="165"/>
    </row>
    <row r="34" spans="1:13" outlineLevel="1" x14ac:dyDescent="0.25">
      <c r="A34" s="958">
        <v>22</v>
      </c>
      <c r="B34" s="1159" t="s">
        <v>1336</v>
      </c>
      <c r="C34" s="1160"/>
      <c r="D34" s="1161"/>
      <c r="E34" s="1162"/>
      <c r="F34" s="1163"/>
      <c r="G34" s="960"/>
      <c r="H34" s="960">
        <v>3000</v>
      </c>
      <c r="I34" s="481">
        <f t="shared" si="3"/>
        <v>26</v>
      </c>
      <c r="J34" s="960">
        <f t="shared" si="5"/>
        <v>115.38461538461539</v>
      </c>
      <c r="K34" s="1192"/>
      <c r="L34" s="165"/>
      <c r="M34" s="165"/>
    </row>
    <row r="35" spans="1:13" outlineLevel="1" x14ac:dyDescent="0.25">
      <c r="A35" s="958">
        <v>23</v>
      </c>
      <c r="B35" s="1159" t="s">
        <v>1337</v>
      </c>
      <c r="C35" s="1160"/>
      <c r="D35" s="1161"/>
      <c r="E35" s="1162"/>
      <c r="F35" s="1163"/>
      <c r="G35" s="960"/>
      <c r="H35" s="960">
        <v>3000</v>
      </c>
      <c r="I35" s="481">
        <f t="shared" si="3"/>
        <v>26</v>
      </c>
      <c r="J35" s="960">
        <f t="shared" si="5"/>
        <v>115.38461538461539</v>
      </c>
      <c r="K35" s="1192"/>
      <c r="L35" s="165"/>
      <c r="M35" s="165"/>
    </row>
    <row r="36" spans="1:13" outlineLevel="1" x14ac:dyDescent="0.25">
      <c r="A36" s="958">
        <v>24</v>
      </c>
      <c r="B36" s="1159" t="s">
        <v>1337</v>
      </c>
      <c r="C36" s="1160"/>
      <c r="D36" s="1161"/>
      <c r="E36" s="1162"/>
      <c r="F36" s="1163"/>
      <c r="G36" s="960"/>
      <c r="H36" s="960">
        <v>3000</v>
      </c>
      <c r="I36" s="481">
        <f t="shared" si="3"/>
        <v>26</v>
      </c>
      <c r="J36" s="960">
        <f t="shared" si="5"/>
        <v>115.38461538461539</v>
      </c>
      <c r="K36" s="1192"/>
      <c r="L36" s="165"/>
      <c r="M36" s="165"/>
    </row>
    <row r="37" spans="1:13" outlineLevel="1" x14ac:dyDescent="0.25">
      <c r="A37" s="958">
        <v>25</v>
      </c>
      <c r="B37" s="1159" t="s">
        <v>1337</v>
      </c>
      <c r="C37" s="1160"/>
      <c r="D37" s="1161"/>
      <c r="E37" s="1162"/>
      <c r="F37" s="1163"/>
      <c r="G37" s="960"/>
      <c r="H37" s="960">
        <v>3000</v>
      </c>
      <c r="I37" s="481">
        <f t="shared" si="3"/>
        <v>26</v>
      </c>
      <c r="J37" s="960">
        <f t="shared" si="5"/>
        <v>115.38461538461539</v>
      </c>
      <c r="K37" s="1192"/>
      <c r="L37" s="165"/>
      <c r="M37" s="165"/>
    </row>
    <row r="38" spans="1:13" outlineLevel="1" x14ac:dyDescent="0.25">
      <c r="A38" s="958">
        <v>26</v>
      </c>
      <c r="B38" s="1159" t="s">
        <v>1337</v>
      </c>
      <c r="C38" s="1160"/>
      <c r="D38" s="1161"/>
      <c r="E38" s="1162"/>
      <c r="F38" s="1163"/>
      <c r="G38" s="960"/>
      <c r="H38" s="960">
        <v>3000</v>
      </c>
      <c r="I38" s="481">
        <f t="shared" si="3"/>
        <v>26</v>
      </c>
      <c r="J38" s="960">
        <f t="shared" si="5"/>
        <v>115.38461538461539</v>
      </c>
      <c r="K38" s="1193"/>
      <c r="L38" s="165"/>
      <c r="M38" s="165"/>
    </row>
    <row r="39" spans="1:13" outlineLevel="1" x14ac:dyDescent="0.25">
      <c r="A39" s="958">
        <v>27</v>
      </c>
      <c r="B39" s="1159" t="s">
        <v>1356</v>
      </c>
      <c r="C39" s="1160"/>
      <c r="D39" s="1161"/>
      <c r="E39" s="1162"/>
      <c r="F39" s="1163"/>
      <c r="G39" s="960"/>
      <c r="H39" s="960">
        <v>5450</v>
      </c>
      <c r="I39" s="481">
        <f t="shared" si="3"/>
        <v>26</v>
      </c>
      <c r="J39" s="960">
        <f t="shared" ref="J39" si="6">H39/I39</f>
        <v>209.61538461538461</v>
      </c>
      <c r="K39" s="1191" t="s">
        <v>1446</v>
      </c>
      <c r="L39" s="165"/>
      <c r="M39" s="165"/>
    </row>
    <row r="40" spans="1:13" outlineLevel="1" x14ac:dyDescent="0.25">
      <c r="A40" s="958">
        <v>28</v>
      </c>
      <c r="B40" s="1159" t="s">
        <v>1445</v>
      </c>
      <c r="C40" s="1160"/>
      <c r="D40" s="1161"/>
      <c r="E40" s="972"/>
      <c r="F40" s="973"/>
      <c r="G40" s="960"/>
      <c r="H40" s="960">
        <f>65350+52504</f>
        <v>117854</v>
      </c>
      <c r="I40" s="481">
        <f t="shared" si="3"/>
        <v>26</v>
      </c>
      <c r="J40" s="960">
        <f t="shared" ref="J40" si="7">H40/I40</f>
        <v>4532.8461538461543</v>
      </c>
      <c r="K40" s="1192"/>
      <c r="L40" s="165"/>
      <c r="M40" s="165"/>
    </row>
    <row r="41" spans="1:13" outlineLevel="1" x14ac:dyDescent="0.25">
      <c r="A41" s="958">
        <v>29</v>
      </c>
      <c r="B41" s="1159" t="s">
        <v>1394</v>
      </c>
      <c r="C41" s="1160"/>
      <c r="D41" s="1161"/>
      <c r="E41" s="1162"/>
      <c r="F41" s="1163"/>
      <c r="G41" s="960"/>
      <c r="H41" s="960">
        <v>89000</v>
      </c>
      <c r="I41" s="481">
        <f t="shared" si="3"/>
        <v>26</v>
      </c>
      <c r="J41" s="960">
        <f>H41/I41</f>
        <v>3423.0769230769229</v>
      </c>
      <c r="K41" s="1192"/>
      <c r="L41" s="165"/>
      <c r="M41" s="165"/>
    </row>
    <row r="42" spans="1:13" outlineLevel="1" x14ac:dyDescent="0.25">
      <c r="A42" s="958">
        <v>30</v>
      </c>
      <c r="B42" s="1159" t="s">
        <v>1328</v>
      </c>
      <c r="C42" s="1160"/>
      <c r="D42" s="1161"/>
      <c r="E42" s="972"/>
      <c r="F42" s="973"/>
      <c r="G42" s="960"/>
      <c r="H42" s="960">
        <v>3000</v>
      </c>
      <c r="I42" s="481">
        <f t="shared" si="3"/>
        <v>26</v>
      </c>
      <c r="J42" s="960">
        <f t="shared" ref="J42" si="8">H42/I42</f>
        <v>115.38461538461539</v>
      </c>
      <c r="K42" s="1192"/>
      <c r="L42" s="165"/>
      <c r="M42" s="165"/>
    </row>
    <row r="43" spans="1:13" outlineLevel="1" x14ac:dyDescent="0.25">
      <c r="A43" s="958">
        <v>31</v>
      </c>
      <c r="B43" s="1159" t="s">
        <v>1395</v>
      </c>
      <c r="C43" s="1160"/>
      <c r="D43" s="1161"/>
      <c r="E43" s="1162"/>
      <c r="F43" s="1163"/>
      <c r="G43" s="960"/>
      <c r="H43" s="960">
        <v>29800</v>
      </c>
      <c r="I43" s="481">
        <f t="shared" si="3"/>
        <v>26</v>
      </c>
      <c r="J43" s="960">
        <f>H43/I43</f>
        <v>1146.1538461538462</v>
      </c>
      <c r="K43" s="1192"/>
      <c r="L43" s="165"/>
      <c r="M43" s="165"/>
    </row>
    <row r="44" spans="1:13" ht="15" customHeight="1" outlineLevel="1" x14ac:dyDescent="0.25">
      <c r="A44" s="958">
        <v>32</v>
      </c>
      <c r="B44" s="1159" t="s">
        <v>1396</v>
      </c>
      <c r="C44" s="1160"/>
      <c r="D44" s="1161"/>
      <c r="E44" s="1162"/>
      <c r="F44" s="1163"/>
      <c r="G44" s="960"/>
      <c r="H44" s="960">
        <v>1900</v>
      </c>
      <c r="I44" s="481">
        <f t="shared" si="3"/>
        <v>26</v>
      </c>
      <c r="J44" s="960">
        <f t="shared" si="5"/>
        <v>73.07692307692308</v>
      </c>
      <c r="K44" s="1193"/>
      <c r="L44" s="165"/>
      <c r="M44" s="165"/>
    </row>
    <row r="45" spans="1:13" x14ac:dyDescent="0.25">
      <c r="A45" s="1194" t="s">
        <v>1435</v>
      </c>
      <c r="B45" s="1195"/>
      <c r="C45" s="1195"/>
      <c r="D45" s="1195"/>
      <c r="E45" s="1195"/>
      <c r="F45" s="1195"/>
      <c r="G45" s="1196"/>
      <c r="H45" s="964">
        <f>SUM(H13:H44)</f>
        <v>1633900</v>
      </c>
      <c r="I45" s="964">
        <f>I7</f>
        <v>26</v>
      </c>
      <c r="J45" s="964">
        <f>SUM(J13:J44)</f>
        <v>62842.30769230771</v>
      </c>
      <c r="K45" s="970"/>
    </row>
    <row r="46" spans="1:13" x14ac:dyDescent="0.25">
      <c r="A46" s="1151" t="s">
        <v>1426</v>
      </c>
      <c r="B46" s="1152"/>
      <c r="C46" s="1152"/>
      <c r="D46" s="1152"/>
      <c r="E46" s="1152"/>
      <c r="F46" s="1152"/>
      <c r="G46" s="1197"/>
      <c r="H46" s="968">
        <f>H45+H9</f>
        <v>4139000.65288</v>
      </c>
      <c r="I46" s="965">
        <f>I7</f>
        <v>26</v>
      </c>
      <c r="J46" s="965">
        <f>J45+J9</f>
        <v>159192.33280307695</v>
      </c>
      <c r="K46" s="970"/>
      <c r="L46" s="499">
        <f>J46-№32!H53</f>
        <v>2019.3847261538613</v>
      </c>
    </row>
  </sheetData>
  <mergeCells count="86">
    <mergeCell ref="K39:K44"/>
    <mergeCell ref="B38:D38"/>
    <mergeCell ref="E38:F38"/>
    <mergeCell ref="B40:D40"/>
    <mergeCell ref="B42:D42"/>
    <mergeCell ref="B35:D35"/>
    <mergeCell ref="E35:F35"/>
    <mergeCell ref="B36:D36"/>
    <mergeCell ref="E36:F36"/>
    <mergeCell ref="B37:D37"/>
    <mergeCell ref="E37:F37"/>
    <mergeCell ref="B28:D28"/>
    <mergeCell ref="E28:F28"/>
    <mergeCell ref="B43:D43"/>
    <mergeCell ref="E43:F43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21:D21"/>
    <mergeCell ref="E21:F21"/>
    <mergeCell ref="B22:D22"/>
    <mergeCell ref="E22:F22"/>
    <mergeCell ref="B41:D41"/>
    <mergeCell ref="E41:F41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A45:G45"/>
    <mergeCell ref="A46:G46"/>
    <mergeCell ref="E39:F39"/>
    <mergeCell ref="B39:D39"/>
    <mergeCell ref="E44:F44"/>
    <mergeCell ref="B44:D44"/>
    <mergeCell ref="L12:M12"/>
    <mergeCell ref="B13:D13"/>
    <mergeCell ref="E13:F13"/>
    <mergeCell ref="B14:D14"/>
    <mergeCell ref="E14:F14"/>
    <mergeCell ref="K13:K38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A10:K10"/>
    <mergeCell ref="B15:D15"/>
    <mergeCell ref="E15:F15"/>
    <mergeCell ref="B12:D12"/>
    <mergeCell ref="E12:F12"/>
    <mergeCell ref="B11:D11"/>
    <mergeCell ref="E11:F11"/>
    <mergeCell ref="C7:C8"/>
    <mergeCell ref="K7:K8"/>
    <mergeCell ref="A9:G9"/>
    <mergeCell ref="A1:K1"/>
    <mergeCell ref="A3:A5"/>
    <mergeCell ref="B3:B5"/>
    <mergeCell ref="C3:C5"/>
    <mergeCell ref="D3:G3"/>
    <mergeCell ref="H3:H5"/>
    <mergeCell ref="I3:I5"/>
    <mergeCell ref="J3:J5"/>
    <mergeCell ref="K3:K5"/>
    <mergeCell ref="D4:D5"/>
    <mergeCell ref="E4:G4"/>
  </mergeCells>
  <pageMargins left="0.23622047244094491" right="0.23622047244094491" top="0.39370078740157483" bottom="0.19685039370078741" header="0" footer="0"/>
  <pageSetup paperSize="9" scale="74" orientation="landscape" r:id="rId1"/>
  <colBreaks count="1" manualBreakCount="1">
    <brk id="11" max="1048575" man="1"/>
  </colBreaks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T50"/>
  <sheetViews>
    <sheetView zoomScaleNormal="100" workbookViewId="0">
      <pane xSplit="4" ySplit="3" topLeftCell="E36" activePane="bottomRight" state="frozen"/>
      <selection activeCell="C6" sqref="C6"/>
      <selection pane="topRight" activeCell="C6" sqref="C6"/>
      <selection pane="bottomLeft" activeCell="C6" sqref="C6"/>
      <selection pane="bottomRight" activeCell="V32" sqref="V32"/>
    </sheetView>
  </sheetViews>
  <sheetFormatPr defaultRowHeight="15" outlineLevelRow="2" outlineLevelCol="1" x14ac:dyDescent="0.25"/>
  <cols>
    <col min="1" max="1" width="4.140625" style="201" customWidth="1"/>
    <col min="2" max="2" width="17.28515625" style="1" customWidth="1"/>
    <col min="3" max="3" width="10.42578125" style="1" customWidth="1"/>
    <col min="4" max="4" width="35.140625" style="48" customWidth="1"/>
    <col min="5" max="5" width="12" style="201" bestFit="1" customWidth="1"/>
    <col min="6" max="6" width="16.85546875" style="201" bestFit="1" customWidth="1"/>
    <col min="7" max="7" width="15.140625" style="201" bestFit="1" customWidth="1"/>
    <col min="8" max="8" width="11.5703125" style="48" hidden="1" customWidth="1" outlineLevel="1"/>
    <col min="9" max="9" width="12.28515625" style="1" customWidth="1" collapsed="1"/>
    <col min="10" max="10" width="18.140625" bestFit="1" customWidth="1"/>
    <col min="11" max="11" width="23.7109375" bestFit="1" customWidth="1"/>
    <col min="12" max="12" width="19.28515625" bestFit="1" customWidth="1"/>
    <col min="13" max="13" width="20.42578125" customWidth="1"/>
    <col min="14" max="14" width="28.42578125" customWidth="1"/>
    <col min="15" max="15" width="13.28515625" hidden="1" customWidth="1"/>
    <col min="16" max="16" width="12.5703125" hidden="1" customWidth="1"/>
    <col min="17" max="17" width="13" hidden="1" customWidth="1"/>
    <col min="18" max="18" width="11.42578125" hidden="1" customWidth="1"/>
    <col min="19" max="19" width="10.7109375" hidden="1" customWidth="1"/>
    <col min="20" max="20" width="12.42578125" hidden="1" customWidth="1"/>
  </cols>
  <sheetData>
    <row r="1" spans="1:20" ht="37.5" customHeight="1" thickBot="1" x14ac:dyDescent="0.3">
      <c r="A1" s="1198" t="s">
        <v>403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</row>
    <row r="2" spans="1:20" s="202" customFormat="1" ht="68.25" thickBot="1" x14ac:dyDescent="0.3">
      <c r="A2" s="290" t="s">
        <v>0</v>
      </c>
      <c r="B2" s="291" t="s">
        <v>144</v>
      </c>
      <c r="C2" s="291" t="s">
        <v>145</v>
      </c>
      <c r="D2" s="292" t="s">
        <v>147</v>
      </c>
      <c r="E2" s="290" t="s">
        <v>25</v>
      </c>
      <c r="F2" s="291" t="s">
        <v>26</v>
      </c>
      <c r="G2" s="292" t="s">
        <v>146</v>
      </c>
      <c r="H2" s="953" t="s">
        <v>678</v>
      </c>
      <c r="I2" s="396" t="s">
        <v>379</v>
      </c>
      <c r="J2" s="388" t="s">
        <v>386</v>
      </c>
      <c r="K2" s="316" t="s">
        <v>1414</v>
      </c>
      <c r="L2" s="395" t="s">
        <v>200</v>
      </c>
      <c r="M2" s="393" t="s">
        <v>674</v>
      </c>
      <c r="N2" s="174" t="s">
        <v>675</v>
      </c>
      <c r="P2" s="898" t="s">
        <v>1301</v>
      </c>
      <c r="Q2" s="499" t="s">
        <v>1275</v>
      </c>
    </row>
    <row r="3" spans="1:20" s="117" customFormat="1" ht="12" thickBot="1" x14ac:dyDescent="0.25">
      <c r="A3" s="183">
        <v>1</v>
      </c>
      <c r="B3" s="184">
        <v>2</v>
      </c>
      <c r="C3" s="184">
        <v>3</v>
      </c>
      <c r="D3" s="185">
        <v>4</v>
      </c>
      <c r="E3" s="183">
        <v>5</v>
      </c>
      <c r="F3" s="184">
        <v>6</v>
      </c>
      <c r="G3" s="185">
        <v>7</v>
      </c>
      <c r="H3" s="954"/>
      <c r="I3" s="220">
        <v>8</v>
      </c>
      <c r="J3" s="389">
        <v>9</v>
      </c>
      <c r="K3" s="390">
        <v>10</v>
      </c>
      <c r="L3" s="394">
        <v>11</v>
      </c>
      <c r="M3" s="390">
        <v>12</v>
      </c>
      <c r="N3" s="390">
        <v>13</v>
      </c>
    </row>
    <row r="4" spans="1:20" s="117" customFormat="1" ht="15.75" customHeight="1" x14ac:dyDescent="0.2">
      <c r="A4" s="1201" t="s">
        <v>1404</v>
      </c>
      <c r="B4" s="1202"/>
      <c r="C4" s="1202"/>
      <c r="D4" s="1202"/>
      <c r="E4" s="1202"/>
      <c r="F4" s="1202"/>
      <c r="G4" s="1203"/>
      <c r="H4" s="949"/>
      <c r="I4" s="621"/>
      <c r="J4" s="903"/>
      <c r="K4" s="177"/>
      <c r="L4" s="903"/>
      <c r="M4" s="177"/>
      <c r="N4" s="177"/>
    </row>
    <row r="5" spans="1:20" ht="63.75" outlineLevel="1" x14ac:dyDescent="0.25">
      <c r="A5" s="950">
        <v>1</v>
      </c>
      <c r="B5" s="947" t="s">
        <v>479</v>
      </c>
      <c r="C5" s="951" t="s">
        <v>480</v>
      </c>
      <c r="D5" s="181" t="s">
        <v>368</v>
      </c>
      <c r="E5" s="262" t="s">
        <v>31</v>
      </c>
      <c r="F5" s="611" t="s">
        <v>153</v>
      </c>
      <c r="G5" s="263" t="s">
        <v>1346</v>
      </c>
      <c r="H5" s="949">
        <f t="shared" ref="H5:H15" si="0">I5</f>
        <v>61594</v>
      </c>
      <c r="I5" s="621">
        <v>61594</v>
      </c>
      <c r="J5" s="952">
        <f>'Свод по №1'!L6</f>
        <v>295.37001249918632</v>
      </c>
      <c r="K5" s="565">
        <f>I5*J5</f>
        <v>18193020.549874883</v>
      </c>
      <c r="L5" s="903">
        <f t="shared" ref="L5:L24" si="1">ROUND(($L$41/$H$40*H5),2)</f>
        <v>125232.95</v>
      </c>
      <c r="M5" s="565">
        <f t="shared" ref="M5:M32" si="2">ROUND(($M$41/$H$41*H5),2)</f>
        <v>0</v>
      </c>
      <c r="N5" s="565">
        <f>SUM(K5:M5)</f>
        <v>18318253.499874882</v>
      </c>
      <c r="S5" s="899">
        <v>249.86</v>
      </c>
      <c r="T5" s="975">
        <f>J5/S5-100%</f>
        <v>0.18214204954449009</v>
      </c>
    </row>
    <row r="6" spans="1:20" ht="51" outlineLevel="1" x14ac:dyDescent="0.25">
      <c r="A6" s="187">
        <v>2</v>
      </c>
      <c r="B6" s="947" t="s">
        <v>481</v>
      </c>
      <c r="C6" s="948" t="s">
        <v>482</v>
      </c>
      <c r="D6" s="182" t="s">
        <v>42</v>
      </c>
      <c r="E6" s="188" t="s">
        <v>31</v>
      </c>
      <c r="F6" s="209" t="s">
        <v>387</v>
      </c>
      <c r="G6" s="189" t="s">
        <v>32</v>
      </c>
      <c r="H6" s="949">
        <f t="shared" si="0"/>
        <v>2800</v>
      </c>
      <c r="I6" s="198">
        <v>2800</v>
      </c>
      <c r="J6" s="391">
        <f>'Свод по №2'!L6</f>
        <v>224.94676903817879</v>
      </c>
      <c r="K6" s="177">
        <f>I6*J6</f>
        <v>629850.95330690057</v>
      </c>
      <c r="L6" s="195">
        <f t="shared" si="1"/>
        <v>5692.96</v>
      </c>
      <c r="M6" s="177">
        <f t="shared" si="2"/>
        <v>0</v>
      </c>
      <c r="N6" s="177">
        <f>SUM(K6:M6)</f>
        <v>635543.91330690053</v>
      </c>
      <c r="S6" s="899">
        <v>203.99491840607209</v>
      </c>
      <c r="T6" s="975">
        <f t="shared" ref="T6:T32" si="3">J6/S6-100%</f>
        <v>0.10270770858321066</v>
      </c>
    </row>
    <row r="7" spans="1:20" ht="51" outlineLevel="1" x14ac:dyDescent="0.25">
      <c r="A7" s="187">
        <v>3</v>
      </c>
      <c r="B7" s="947" t="s">
        <v>483</v>
      </c>
      <c r="C7" s="948" t="s">
        <v>482</v>
      </c>
      <c r="D7" s="182" t="s">
        <v>42</v>
      </c>
      <c r="E7" s="188" t="s">
        <v>31</v>
      </c>
      <c r="F7" s="209" t="s">
        <v>380</v>
      </c>
      <c r="G7" s="189" t="s">
        <v>1347</v>
      </c>
      <c r="H7" s="949">
        <f t="shared" si="0"/>
        <v>14</v>
      </c>
      <c r="I7" s="198">
        <v>14</v>
      </c>
      <c r="J7" s="391">
        <f>'Свод по №3'!L6</f>
        <v>196.40396903817879</v>
      </c>
      <c r="K7" s="177">
        <f t="shared" ref="K7:K31" si="4">I7*J7</f>
        <v>2749.6555665345031</v>
      </c>
      <c r="L7" s="195">
        <f t="shared" si="1"/>
        <v>28.46</v>
      </c>
      <c r="M7" s="177">
        <f t="shared" si="2"/>
        <v>0</v>
      </c>
      <c r="N7" s="177">
        <f t="shared" ref="N7:N32" si="5">SUM(K7:M7)</f>
        <v>2778.1155665345032</v>
      </c>
      <c r="S7" s="899">
        <v>149.02000000000001</v>
      </c>
      <c r="T7" s="975">
        <f t="shared" si="3"/>
        <v>0.31797053441268797</v>
      </c>
    </row>
    <row r="8" spans="1:20" ht="51" outlineLevel="1" x14ac:dyDescent="0.25">
      <c r="A8" s="187">
        <v>4</v>
      </c>
      <c r="B8" s="947" t="s">
        <v>484</v>
      </c>
      <c r="C8" s="948" t="s">
        <v>482</v>
      </c>
      <c r="D8" s="182" t="s">
        <v>42</v>
      </c>
      <c r="E8" s="188" t="s">
        <v>31</v>
      </c>
      <c r="F8" s="209" t="s">
        <v>153</v>
      </c>
      <c r="G8" s="189" t="s">
        <v>391</v>
      </c>
      <c r="H8" s="949">
        <f t="shared" si="0"/>
        <v>3677</v>
      </c>
      <c r="I8" s="198">
        <v>3677</v>
      </c>
      <c r="J8" s="391">
        <f>'Свод по №4'!L6</f>
        <v>637.21787591878797</v>
      </c>
      <c r="K8" s="177">
        <f t="shared" si="4"/>
        <v>2343050.1297533833</v>
      </c>
      <c r="L8" s="195">
        <f t="shared" si="1"/>
        <v>7476.08</v>
      </c>
      <c r="M8" s="177">
        <f t="shared" si="2"/>
        <v>0</v>
      </c>
      <c r="N8" s="177">
        <f t="shared" si="5"/>
        <v>2350526.2097533834</v>
      </c>
      <c r="S8" s="899">
        <v>288.41595744680848</v>
      </c>
      <c r="T8" s="975">
        <f t="shared" si="3"/>
        <v>1.209371081821323</v>
      </c>
    </row>
    <row r="9" spans="1:20" ht="63.75" outlineLevel="1" x14ac:dyDescent="0.25">
      <c r="A9" s="187">
        <v>5</v>
      </c>
      <c r="B9" s="947" t="s">
        <v>485</v>
      </c>
      <c r="C9" s="948" t="s">
        <v>482</v>
      </c>
      <c r="D9" s="181" t="s">
        <v>377</v>
      </c>
      <c r="E9" s="188" t="s">
        <v>31</v>
      </c>
      <c r="F9" s="209" t="s">
        <v>153</v>
      </c>
      <c r="G9" s="189" t="s">
        <v>1346</v>
      </c>
      <c r="H9" s="949">
        <f t="shared" si="0"/>
        <v>275</v>
      </c>
      <c r="I9" s="155">
        <v>275</v>
      </c>
      <c r="J9" s="195">
        <f>'Свод по №5'!L6</f>
        <v>2418.0447690381784</v>
      </c>
      <c r="K9" s="177">
        <f t="shared" si="4"/>
        <v>664962.31148549903</v>
      </c>
      <c r="L9" s="195">
        <f t="shared" si="1"/>
        <v>559.13</v>
      </c>
      <c r="M9" s="177">
        <f t="shared" si="2"/>
        <v>0</v>
      </c>
      <c r="N9" s="177">
        <f t="shared" si="5"/>
        <v>665521.44148549903</v>
      </c>
      <c r="S9" s="899">
        <v>2498.7600000000002</v>
      </c>
      <c r="T9" s="975">
        <f t="shared" si="3"/>
        <v>-3.2302114233388468E-2</v>
      </c>
    </row>
    <row r="10" spans="1:20" ht="76.5" outlineLevel="1" x14ac:dyDescent="0.25">
      <c r="A10" s="187">
        <v>6</v>
      </c>
      <c r="B10" s="947" t="s">
        <v>486</v>
      </c>
      <c r="C10" s="948" t="s">
        <v>482</v>
      </c>
      <c r="D10" s="181" t="s">
        <v>44</v>
      </c>
      <c r="E10" s="188" t="s">
        <v>31</v>
      </c>
      <c r="F10" s="209" t="s">
        <v>380</v>
      </c>
      <c r="G10" s="189" t="s">
        <v>1348</v>
      </c>
      <c r="H10" s="949">
        <f t="shared" si="0"/>
        <v>107</v>
      </c>
      <c r="I10" s="155">
        <v>107</v>
      </c>
      <c r="J10" s="391">
        <f>'Свод по №6'!L6</f>
        <v>199.40396903817879</v>
      </c>
      <c r="K10" s="177">
        <f t="shared" si="4"/>
        <v>21336.22468708513</v>
      </c>
      <c r="L10" s="195">
        <f t="shared" si="1"/>
        <v>217.55</v>
      </c>
      <c r="M10" s="177">
        <f t="shared" si="2"/>
        <v>0</v>
      </c>
      <c r="N10" s="177">
        <f t="shared" si="5"/>
        <v>21553.77468708513</v>
      </c>
      <c r="S10" s="899">
        <v>150.5</v>
      </c>
      <c r="T10" s="975">
        <f t="shared" si="3"/>
        <v>0.3249433158682975</v>
      </c>
    </row>
    <row r="11" spans="1:20" ht="76.5" outlineLevel="1" x14ac:dyDescent="0.25">
      <c r="A11" s="187">
        <v>7</v>
      </c>
      <c r="B11" s="947" t="s">
        <v>487</v>
      </c>
      <c r="C11" s="948" t="s">
        <v>482</v>
      </c>
      <c r="D11" s="181" t="s">
        <v>44</v>
      </c>
      <c r="E11" s="262" t="s">
        <v>31</v>
      </c>
      <c r="F11" s="611" t="s">
        <v>153</v>
      </c>
      <c r="G11" s="263" t="s">
        <v>1346</v>
      </c>
      <c r="H11" s="949">
        <f t="shared" si="0"/>
        <v>321</v>
      </c>
      <c r="I11" s="155">
        <v>321</v>
      </c>
      <c r="J11" s="195">
        <f>'Свод по №7'!L6</f>
        <v>2034.7567690381793</v>
      </c>
      <c r="K11" s="177">
        <f t="shared" si="4"/>
        <v>653156.92286125559</v>
      </c>
      <c r="L11" s="195">
        <f t="shared" si="1"/>
        <v>652.66</v>
      </c>
      <c r="M11" s="177">
        <f t="shared" si="2"/>
        <v>0</v>
      </c>
      <c r="N11" s="177">
        <f t="shared" si="5"/>
        <v>653809.58286125562</v>
      </c>
      <c r="S11" s="899">
        <v>2468.1799999999998</v>
      </c>
      <c r="T11" s="975">
        <f t="shared" si="3"/>
        <v>-0.17560438499696962</v>
      </c>
    </row>
    <row r="12" spans="1:20" ht="76.5" outlineLevel="1" x14ac:dyDescent="0.25">
      <c r="A12" s="187">
        <v>8</v>
      </c>
      <c r="B12" s="947" t="s">
        <v>488</v>
      </c>
      <c r="C12" s="948" t="s">
        <v>482</v>
      </c>
      <c r="D12" s="181" t="s">
        <v>44</v>
      </c>
      <c r="E12" s="188" t="s">
        <v>34</v>
      </c>
      <c r="F12" s="209" t="s">
        <v>387</v>
      </c>
      <c r="G12" s="189" t="s">
        <v>32</v>
      </c>
      <c r="H12" s="949">
        <f t="shared" si="0"/>
        <v>382</v>
      </c>
      <c r="I12" s="155">
        <v>382</v>
      </c>
      <c r="J12" s="391">
        <f>'Свод по №8'!L6</f>
        <v>678.45843395964482</v>
      </c>
      <c r="K12" s="177">
        <f t="shared" si="4"/>
        <v>259171.12177258433</v>
      </c>
      <c r="L12" s="195">
        <f t="shared" si="1"/>
        <v>776.68</v>
      </c>
      <c r="M12" s="177">
        <f t="shared" si="2"/>
        <v>0</v>
      </c>
      <c r="N12" s="177">
        <f t="shared" si="5"/>
        <v>259947.80177258432</v>
      </c>
      <c r="S12" s="899">
        <v>606.28398203592803</v>
      </c>
      <c r="T12" s="975">
        <f t="shared" si="3"/>
        <v>0.11904396959548857</v>
      </c>
    </row>
    <row r="13" spans="1:20" ht="51" outlineLevel="1" x14ac:dyDescent="0.25">
      <c r="A13" s="187">
        <v>9</v>
      </c>
      <c r="B13" s="947" t="s">
        <v>489</v>
      </c>
      <c r="C13" s="948" t="s">
        <v>480</v>
      </c>
      <c r="D13" s="211" t="s">
        <v>30</v>
      </c>
      <c r="E13" s="188" t="s">
        <v>31</v>
      </c>
      <c r="F13" s="209" t="s">
        <v>387</v>
      </c>
      <c r="G13" s="189" t="s">
        <v>32</v>
      </c>
      <c r="H13" s="949">
        <f t="shared" si="0"/>
        <v>12</v>
      </c>
      <c r="I13" s="155">
        <v>12</v>
      </c>
      <c r="J13" s="391">
        <f>'Свод по №9'!L6</f>
        <v>288.98196903817882</v>
      </c>
      <c r="K13" s="177">
        <f t="shared" si="4"/>
        <v>3467.7836284581458</v>
      </c>
      <c r="L13" s="195">
        <f t="shared" si="1"/>
        <v>24.4</v>
      </c>
      <c r="M13" s="177">
        <f t="shared" si="2"/>
        <v>0</v>
      </c>
      <c r="N13" s="177">
        <f t="shared" si="5"/>
        <v>3492.1836284581459</v>
      </c>
      <c r="S13" s="899">
        <v>269.87</v>
      </c>
      <c r="T13" s="975">
        <f t="shared" si="3"/>
        <v>7.0819168630002594E-2</v>
      </c>
    </row>
    <row r="14" spans="1:20" ht="51" outlineLevel="1" x14ac:dyDescent="0.25">
      <c r="A14" s="187">
        <v>10</v>
      </c>
      <c r="B14" s="947" t="s">
        <v>490</v>
      </c>
      <c r="C14" s="948" t="s">
        <v>480</v>
      </c>
      <c r="D14" s="182" t="s">
        <v>30</v>
      </c>
      <c r="E14" s="188" t="s">
        <v>34</v>
      </c>
      <c r="F14" s="209" t="s">
        <v>1344</v>
      </c>
      <c r="G14" s="189" t="s">
        <v>1349</v>
      </c>
      <c r="H14" s="949">
        <f t="shared" si="0"/>
        <v>30500</v>
      </c>
      <c r="I14" s="198">
        <v>30500</v>
      </c>
      <c r="J14" s="391">
        <f>'Свод по №10'!L6</f>
        <v>505.58956903817875</v>
      </c>
      <c r="K14" s="177">
        <f t="shared" si="4"/>
        <v>15420481.855664453</v>
      </c>
      <c r="L14" s="195">
        <f t="shared" si="1"/>
        <v>62012.61</v>
      </c>
      <c r="M14" s="177">
        <f t="shared" si="2"/>
        <v>0</v>
      </c>
      <c r="N14" s="177">
        <f t="shared" si="5"/>
        <v>15482494.465664452</v>
      </c>
      <c r="S14" s="899">
        <v>459.69</v>
      </c>
      <c r="T14" s="975">
        <f t="shared" si="3"/>
        <v>9.9848961339552122E-2</v>
      </c>
    </row>
    <row r="15" spans="1:20" ht="51" outlineLevel="1" x14ac:dyDescent="0.25">
      <c r="A15" s="187">
        <v>11</v>
      </c>
      <c r="B15" s="947" t="s">
        <v>491</v>
      </c>
      <c r="C15" s="948" t="s">
        <v>480</v>
      </c>
      <c r="D15" s="211" t="s">
        <v>30</v>
      </c>
      <c r="E15" s="188" t="s">
        <v>34</v>
      </c>
      <c r="F15" s="209" t="s">
        <v>387</v>
      </c>
      <c r="G15" s="189" t="s">
        <v>32</v>
      </c>
      <c r="H15" s="949">
        <f t="shared" si="0"/>
        <v>3411</v>
      </c>
      <c r="I15" s="198">
        <v>3411</v>
      </c>
      <c r="J15" s="391">
        <f>'Свод по №11'!L6</f>
        <v>400.34756903817879</v>
      </c>
      <c r="K15" s="177">
        <f t="shared" si="4"/>
        <v>1365585.5579892278</v>
      </c>
      <c r="L15" s="195">
        <f t="shared" si="1"/>
        <v>6935.25</v>
      </c>
      <c r="M15" s="177">
        <f t="shared" si="2"/>
        <v>0</v>
      </c>
      <c r="N15" s="177">
        <f t="shared" si="5"/>
        <v>1372520.8079892278</v>
      </c>
      <c r="S15" s="899">
        <v>364.27</v>
      </c>
      <c r="T15" s="975">
        <f t="shared" si="3"/>
        <v>9.9040736371863725E-2</v>
      </c>
    </row>
    <row r="16" spans="1:20" ht="63.75" outlineLevel="1" x14ac:dyDescent="0.25">
      <c r="A16" s="187">
        <v>12</v>
      </c>
      <c r="B16" s="947" t="s">
        <v>492</v>
      </c>
      <c r="C16" s="948" t="s">
        <v>480</v>
      </c>
      <c r="D16" s="212" t="s">
        <v>36</v>
      </c>
      <c r="E16" s="188" t="s">
        <v>31</v>
      </c>
      <c r="F16" s="209" t="s">
        <v>1345</v>
      </c>
      <c r="G16" s="189" t="s">
        <v>1350</v>
      </c>
      <c r="H16" s="949">
        <f>I16*1000</f>
        <v>1000</v>
      </c>
      <c r="I16" s="392">
        <v>1</v>
      </c>
      <c r="J16" s="195">
        <f>'Свод по №12'!L6</f>
        <v>270445.56903817883</v>
      </c>
      <c r="K16" s="177">
        <f t="shared" si="4"/>
        <v>270445.56903817883</v>
      </c>
      <c r="L16" s="195">
        <f t="shared" si="1"/>
        <v>2033.2</v>
      </c>
      <c r="M16" s="177">
        <f t="shared" si="2"/>
        <v>0</v>
      </c>
      <c r="N16" s="177">
        <f t="shared" si="5"/>
        <v>272478.76903817884</v>
      </c>
      <c r="S16" s="899">
        <v>252570</v>
      </c>
      <c r="T16" s="975">
        <f t="shared" si="3"/>
        <v>7.0774712112201987E-2</v>
      </c>
    </row>
    <row r="17" spans="1:20" ht="63.75" outlineLevel="1" x14ac:dyDescent="0.25">
      <c r="A17" s="187">
        <v>13</v>
      </c>
      <c r="B17" s="947" t="s">
        <v>493</v>
      </c>
      <c r="C17" s="948" t="s">
        <v>480</v>
      </c>
      <c r="D17" s="212" t="s">
        <v>36</v>
      </c>
      <c r="E17" s="188" t="s">
        <v>34</v>
      </c>
      <c r="F17" s="209" t="s">
        <v>1345</v>
      </c>
      <c r="G17" s="189" t="s">
        <v>1350</v>
      </c>
      <c r="H17" s="949">
        <f>I17*1000</f>
        <v>7859</v>
      </c>
      <c r="I17" s="155">
        <v>7.859</v>
      </c>
      <c r="J17" s="195">
        <f>'Свод по №13'!L6</f>
        <v>388467.56903817883</v>
      </c>
      <c r="K17" s="177">
        <f t="shared" si="4"/>
        <v>3052966.6250710473</v>
      </c>
      <c r="L17" s="195">
        <f t="shared" si="1"/>
        <v>15978.92</v>
      </c>
      <c r="M17" s="177">
        <f t="shared" si="2"/>
        <v>0</v>
      </c>
      <c r="N17" s="177">
        <f t="shared" si="5"/>
        <v>3068945.5450710473</v>
      </c>
      <c r="S17" s="899">
        <v>356670</v>
      </c>
      <c r="T17" s="975">
        <f t="shared" si="3"/>
        <v>8.9151229534804699E-2</v>
      </c>
    </row>
    <row r="18" spans="1:20" ht="63.75" outlineLevel="1" x14ac:dyDescent="0.25">
      <c r="A18" s="187">
        <v>14</v>
      </c>
      <c r="B18" s="947" t="s">
        <v>494</v>
      </c>
      <c r="C18" s="948" t="s">
        <v>480</v>
      </c>
      <c r="D18" s="212" t="s">
        <v>39</v>
      </c>
      <c r="E18" s="188" t="s">
        <v>31</v>
      </c>
      <c r="F18" s="209" t="s">
        <v>380</v>
      </c>
      <c r="G18" s="189" t="s">
        <v>33</v>
      </c>
      <c r="H18" s="949">
        <f t="shared" ref="H18:H37" si="6">I18</f>
        <v>72</v>
      </c>
      <c r="I18" s="155">
        <v>72</v>
      </c>
      <c r="J18" s="391">
        <f>'Свод по №14'!L6</f>
        <v>347.29676903817881</v>
      </c>
      <c r="K18" s="177">
        <f t="shared" si="4"/>
        <v>25005.367370748874</v>
      </c>
      <c r="L18" s="195">
        <f t="shared" si="1"/>
        <v>146.38999999999999</v>
      </c>
      <c r="M18" s="177">
        <f t="shared" si="2"/>
        <v>0</v>
      </c>
      <c r="N18" s="177">
        <f t="shared" si="5"/>
        <v>25151.757370748874</v>
      </c>
      <c r="S18" s="899">
        <v>319.27</v>
      </c>
      <c r="T18" s="975">
        <f t="shared" si="3"/>
        <v>8.7783910289657152E-2</v>
      </c>
    </row>
    <row r="19" spans="1:20" ht="63.75" outlineLevel="1" x14ac:dyDescent="0.25">
      <c r="A19" s="187">
        <v>15</v>
      </c>
      <c r="B19" s="947" t="s">
        <v>495</v>
      </c>
      <c r="C19" s="948" t="s">
        <v>480</v>
      </c>
      <c r="D19" s="212" t="s">
        <v>40</v>
      </c>
      <c r="E19" s="188" t="s">
        <v>34</v>
      </c>
      <c r="F19" s="209" t="s">
        <v>380</v>
      </c>
      <c r="G19" s="189" t="s">
        <v>33</v>
      </c>
      <c r="H19" s="949">
        <f t="shared" si="6"/>
        <v>465</v>
      </c>
      <c r="I19" s="155">
        <v>465</v>
      </c>
      <c r="J19" s="391">
        <f>'Свод по №15'!L6</f>
        <v>217.2167690381788</v>
      </c>
      <c r="K19" s="177">
        <f t="shared" si="4"/>
        <v>101005.79760275314</v>
      </c>
      <c r="L19" s="195">
        <f t="shared" si="1"/>
        <v>945.44</v>
      </c>
      <c r="M19" s="177">
        <f t="shared" si="2"/>
        <v>0</v>
      </c>
      <c r="N19" s="177">
        <f t="shared" si="5"/>
        <v>101951.23760275314</v>
      </c>
      <c r="S19" s="899">
        <v>204.66</v>
      </c>
      <c r="T19" s="975">
        <f t="shared" si="3"/>
        <v>6.135429022856842E-2</v>
      </c>
    </row>
    <row r="20" spans="1:20" ht="63.75" outlineLevel="1" x14ac:dyDescent="0.25">
      <c r="A20" s="187">
        <v>16</v>
      </c>
      <c r="B20" s="947" t="s">
        <v>496</v>
      </c>
      <c r="C20" s="948" t="s">
        <v>480</v>
      </c>
      <c r="D20" s="212" t="s">
        <v>40</v>
      </c>
      <c r="E20" s="188" t="s">
        <v>34</v>
      </c>
      <c r="F20" s="209" t="s">
        <v>390</v>
      </c>
      <c r="G20" s="189" t="s">
        <v>1351</v>
      </c>
      <c r="H20" s="949">
        <f t="shared" si="6"/>
        <v>465</v>
      </c>
      <c r="I20" s="155">
        <v>465</v>
      </c>
      <c r="J20" s="391">
        <f>'Свод по №16'!L6</f>
        <v>650.68396903817882</v>
      </c>
      <c r="K20" s="177">
        <f t="shared" si="4"/>
        <v>302568.04560275318</v>
      </c>
      <c r="L20" s="195">
        <f t="shared" si="1"/>
        <v>945.44</v>
      </c>
      <c r="M20" s="177">
        <f t="shared" si="2"/>
        <v>0</v>
      </c>
      <c r="N20" s="177">
        <f t="shared" si="5"/>
        <v>303513.48560275318</v>
      </c>
      <c r="S20" s="899">
        <v>587.04999999999995</v>
      </c>
      <c r="T20" s="975">
        <f t="shared" si="3"/>
        <v>0.10839616563866605</v>
      </c>
    </row>
    <row r="21" spans="1:20" ht="45" outlineLevel="1" x14ac:dyDescent="0.25">
      <c r="A21" s="187">
        <v>17</v>
      </c>
      <c r="B21" s="947" t="s">
        <v>497</v>
      </c>
      <c r="C21" s="948" t="s">
        <v>482</v>
      </c>
      <c r="D21" s="182" t="s">
        <v>148</v>
      </c>
      <c r="E21" s="188" t="s">
        <v>31</v>
      </c>
      <c r="F21" s="209" t="s">
        <v>380</v>
      </c>
      <c r="G21" s="189" t="s">
        <v>33</v>
      </c>
      <c r="H21" s="949">
        <f t="shared" si="6"/>
        <v>160100</v>
      </c>
      <c r="I21" s="198">
        <v>160100</v>
      </c>
      <c r="J21" s="391">
        <f>'Свод по №17'!L6</f>
        <v>164.18476903817881</v>
      </c>
      <c r="K21" s="177">
        <f t="shared" si="4"/>
        <v>26285981.523012429</v>
      </c>
      <c r="L21" s="195">
        <f t="shared" si="1"/>
        <v>325515.38</v>
      </c>
      <c r="M21" s="177">
        <f t="shared" si="2"/>
        <v>0</v>
      </c>
      <c r="N21" s="177">
        <f t="shared" si="5"/>
        <v>26611496.903012428</v>
      </c>
      <c r="S21" s="899">
        <v>158.4</v>
      </c>
      <c r="T21" s="975">
        <f t="shared" si="3"/>
        <v>3.6520006554159101E-2</v>
      </c>
    </row>
    <row r="22" spans="1:20" ht="51" outlineLevel="1" x14ac:dyDescent="0.25">
      <c r="A22" s="187">
        <v>18</v>
      </c>
      <c r="B22" s="947" t="s">
        <v>498</v>
      </c>
      <c r="C22" s="948" t="s">
        <v>482</v>
      </c>
      <c r="D22" s="212" t="s">
        <v>42</v>
      </c>
      <c r="E22" s="188" t="s">
        <v>34</v>
      </c>
      <c r="F22" s="209" t="s">
        <v>387</v>
      </c>
      <c r="G22" s="189" t="s">
        <v>391</v>
      </c>
      <c r="H22" s="949">
        <f t="shared" si="6"/>
        <v>877</v>
      </c>
      <c r="I22" s="155">
        <v>877</v>
      </c>
      <c r="J22" s="391">
        <f>'Свод по №18'!L6</f>
        <v>414.46676903817877</v>
      </c>
      <c r="K22" s="177">
        <f t="shared" si="4"/>
        <v>363487.35644648277</v>
      </c>
      <c r="L22" s="195">
        <f t="shared" si="1"/>
        <v>1783.12</v>
      </c>
      <c r="M22" s="177">
        <f t="shared" si="2"/>
        <v>0</v>
      </c>
      <c r="N22" s="177">
        <f t="shared" si="5"/>
        <v>365270.47644648276</v>
      </c>
      <c r="S22" s="899">
        <v>379.29</v>
      </c>
      <c r="T22" s="975">
        <f t="shared" si="3"/>
        <v>9.274372917339968E-2</v>
      </c>
    </row>
    <row r="23" spans="1:20" ht="45" outlineLevel="1" x14ac:dyDescent="0.25">
      <c r="A23" s="187">
        <v>19</v>
      </c>
      <c r="B23" s="947" t="s">
        <v>499</v>
      </c>
      <c r="C23" s="948" t="s">
        <v>482</v>
      </c>
      <c r="D23" s="212" t="s">
        <v>43</v>
      </c>
      <c r="E23" s="188" t="s">
        <v>34</v>
      </c>
      <c r="F23" s="209" t="s">
        <v>380</v>
      </c>
      <c r="G23" s="189" t="s">
        <v>1351</v>
      </c>
      <c r="H23" s="949">
        <f t="shared" si="6"/>
        <v>66</v>
      </c>
      <c r="I23" s="155">
        <v>66</v>
      </c>
      <c r="J23" s="391">
        <f>'Свод по №19'!L6</f>
        <v>217.2167690381788</v>
      </c>
      <c r="K23" s="177">
        <f t="shared" si="4"/>
        <v>14336.3067565198</v>
      </c>
      <c r="L23" s="195">
        <f t="shared" si="1"/>
        <v>134.19</v>
      </c>
      <c r="M23" s="177">
        <f t="shared" si="2"/>
        <v>0</v>
      </c>
      <c r="N23" s="177">
        <f t="shared" si="5"/>
        <v>14470.4967565198</v>
      </c>
      <c r="S23" s="899">
        <v>203.790515</v>
      </c>
      <c r="T23" s="975">
        <f t="shared" si="3"/>
        <v>6.588262480311613E-2</v>
      </c>
    </row>
    <row r="24" spans="1:20" ht="45" outlineLevel="1" x14ac:dyDescent="0.25">
      <c r="A24" s="187">
        <v>20</v>
      </c>
      <c r="B24" s="947" t="s">
        <v>500</v>
      </c>
      <c r="C24" s="948" t="s">
        <v>482</v>
      </c>
      <c r="D24" s="212" t="s">
        <v>43</v>
      </c>
      <c r="E24" s="188" t="s">
        <v>34</v>
      </c>
      <c r="F24" s="209" t="s">
        <v>392</v>
      </c>
      <c r="G24" s="189" t="s">
        <v>1351</v>
      </c>
      <c r="H24" s="949">
        <f t="shared" si="6"/>
        <v>66</v>
      </c>
      <c r="I24" s="155">
        <v>66</v>
      </c>
      <c r="J24" s="391">
        <f>'Свод по №20'!L6</f>
        <v>606.45676903817878</v>
      </c>
      <c r="K24" s="177">
        <f t="shared" si="4"/>
        <v>40026.146756519796</v>
      </c>
      <c r="L24" s="195">
        <f t="shared" si="1"/>
        <v>134.19</v>
      </c>
      <c r="M24" s="177">
        <f t="shared" si="2"/>
        <v>0</v>
      </c>
      <c r="N24" s="177">
        <f t="shared" si="5"/>
        <v>40160.336756519799</v>
      </c>
      <c r="S24" s="899">
        <v>546.80051500000002</v>
      </c>
      <c r="T24" s="975">
        <f t="shared" si="3"/>
        <v>0.10910058129367117</v>
      </c>
    </row>
    <row r="25" spans="1:20" s="210" customFormat="1" ht="102" outlineLevel="2" x14ac:dyDescent="0.25">
      <c r="A25" s="187">
        <v>21</v>
      </c>
      <c r="B25" s="947" t="s">
        <v>404</v>
      </c>
      <c r="C25" s="948" t="s">
        <v>501</v>
      </c>
      <c r="D25" s="211" t="s">
        <v>416</v>
      </c>
      <c r="E25" s="264"/>
      <c r="F25" s="215" t="s">
        <v>342</v>
      </c>
      <c r="G25" s="265" t="s">
        <v>475</v>
      </c>
      <c r="H25" s="949">
        <f t="shared" si="6"/>
        <v>18</v>
      </c>
      <c r="I25" s="155">
        <v>18</v>
      </c>
      <c r="J25" s="195">
        <f>'Свод по №21'!L6-0.08368421</f>
        <v>16561.25631579</v>
      </c>
      <c r="K25" s="177">
        <f t="shared" si="4"/>
        <v>298102.61368422001</v>
      </c>
      <c r="L25" s="195"/>
      <c r="M25" s="177">
        <f t="shared" si="2"/>
        <v>0</v>
      </c>
      <c r="N25" s="177">
        <f t="shared" si="5"/>
        <v>298102.61368422001</v>
      </c>
      <c r="S25" s="899">
        <v>29949.78</v>
      </c>
      <c r="T25" s="975">
        <f t="shared" si="3"/>
        <v>-0.44703245513689915</v>
      </c>
    </row>
    <row r="26" spans="1:20" s="210" customFormat="1" ht="63.75" outlineLevel="2" x14ac:dyDescent="0.25">
      <c r="A26" s="187">
        <v>22</v>
      </c>
      <c r="B26" s="947" t="s">
        <v>405</v>
      </c>
      <c r="C26" s="948" t="s">
        <v>501</v>
      </c>
      <c r="D26" s="211" t="s">
        <v>419</v>
      </c>
      <c r="E26" s="264"/>
      <c r="F26" s="215" t="s">
        <v>342</v>
      </c>
      <c r="G26" s="265" t="s">
        <v>475</v>
      </c>
      <c r="H26" s="949">
        <f t="shared" si="6"/>
        <v>1</v>
      </c>
      <c r="I26" s="155">
        <v>1</v>
      </c>
      <c r="J26" s="195">
        <f>'Свод по №22'!L6-0.08368421</f>
        <v>16561.25631579</v>
      </c>
      <c r="K26" s="177">
        <f t="shared" si="4"/>
        <v>16561.25631579</v>
      </c>
      <c r="L26" s="195"/>
      <c r="M26" s="177">
        <f t="shared" si="2"/>
        <v>0</v>
      </c>
      <c r="N26" s="177">
        <f t="shared" si="5"/>
        <v>16561.25631579</v>
      </c>
      <c r="S26" s="899">
        <v>29949.78</v>
      </c>
      <c r="T26" s="975">
        <f t="shared" si="3"/>
        <v>-0.44703245513689915</v>
      </c>
    </row>
    <row r="27" spans="1:20" s="210" customFormat="1" ht="76.5" outlineLevel="2" x14ac:dyDescent="0.25">
      <c r="A27" s="258">
        <v>23</v>
      </c>
      <c r="B27" s="947" t="s">
        <v>406</v>
      </c>
      <c r="C27" s="948" t="s">
        <v>501</v>
      </c>
      <c r="D27" s="211" t="s">
        <v>421</v>
      </c>
      <c r="E27" s="264"/>
      <c r="F27" s="215" t="s">
        <v>380</v>
      </c>
      <c r="G27" s="265" t="s">
        <v>33</v>
      </c>
      <c r="H27" s="949">
        <f t="shared" si="6"/>
        <v>650</v>
      </c>
      <c r="I27" s="155">
        <v>650</v>
      </c>
      <c r="J27" s="195">
        <f>'Свод по №23'!L6</f>
        <v>1449.76</v>
      </c>
      <c r="K27" s="177">
        <f t="shared" si="4"/>
        <v>942344</v>
      </c>
      <c r="L27" s="195"/>
      <c r="M27" s="177">
        <f t="shared" si="2"/>
        <v>0</v>
      </c>
      <c r="N27" s="177">
        <f t="shared" si="5"/>
        <v>942344</v>
      </c>
      <c r="S27" s="899">
        <v>1500.74</v>
      </c>
      <c r="T27" s="975">
        <f t="shared" si="3"/>
        <v>-3.396990817863188E-2</v>
      </c>
    </row>
    <row r="28" spans="1:20" s="210" customFormat="1" ht="63.75" outlineLevel="2" x14ac:dyDescent="0.25">
      <c r="A28" s="258">
        <v>24</v>
      </c>
      <c r="B28" s="947" t="s">
        <v>407</v>
      </c>
      <c r="C28" s="948" t="s">
        <v>501</v>
      </c>
      <c r="D28" s="259" t="s">
        <v>424</v>
      </c>
      <c r="E28" s="264"/>
      <c r="F28" s="215" t="s">
        <v>425</v>
      </c>
      <c r="G28" s="265" t="s">
        <v>476</v>
      </c>
      <c r="H28" s="949">
        <f t="shared" si="6"/>
        <v>60</v>
      </c>
      <c r="I28" s="155">
        <v>60</v>
      </c>
      <c r="J28" s="195">
        <f>'Свод по №24'!L6</f>
        <v>1135.45</v>
      </c>
      <c r="K28" s="177">
        <f t="shared" si="4"/>
        <v>68127</v>
      </c>
      <c r="L28" s="195"/>
      <c r="M28" s="177">
        <f t="shared" si="2"/>
        <v>0</v>
      </c>
      <c r="N28" s="177">
        <f t="shared" si="5"/>
        <v>68127</v>
      </c>
      <c r="S28" s="899">
        <v>1098.47</v>
      </c>
      <c r="T28" s="975">
        <f t="shared" si="3"/>
        <v>3.3665006782160667E-2</v>
      </c>
    </row>
    <row r="29" spans="1:20" s="210" customFormat="1" ht="76.5" outlineLevel="2" x14ac:dyDescent="0.25">
      <c r="A29" s="258">
        <v>25</v>
      </c>
      <c r="B29" s="947" t="s">
        <v>408</v>
      </c>
      <c r="C29" s="948" t="s">
        <v>501</v>
      </c>
      <c r="D29" s="211" t="s">
        <v>428</v>
      </c>
      <c r="E29" s="264"/>
      <c r="F29" s="215" t="s">
        <v>425</v>
      </c>
      <c r="G29" s="265" t="s">
        <v>476</v>
      </c>
      <c r="H29" s="949">
        <f t="shared" si="6"/>
        <v>20</v>
      </c>
      <c r="I29" s="155">
        <v>20</v>
      </c>
      <c r="J29" s="195">
        <f>'Свод по №25'!L6</f>
        <v>1135.45</v>
      </c>
      <c r="K29" s="177">
        <f t="shared" si="4"/>
        <v>22709</v>
      </c>
      <c r="L29" s="195"/>
      <c r="M29" s="177">
        <f t="shared" si="2"/>
        <v>0</v>
      </c>
      <c r="N29" s="177">
        <f t="shared" si="5"/>
        <v>22709</v>
      </c>
      <c r="S29" s="899">
        <v>1301.4000000000001</v>
      </c>
      <c r="T29" s="975">
        <f t="shared" si="3"/>
        <v>-0.12751652067004771</v>
      </c>
    </row>
    <row r="30" spans="1:20" s="210" customFormat="1" ht="89.25" outlineLevel="2" x14ac:dyDescent="0.25">
      <c r="A30" s="258">
        <v>26</v>
      </c>
      <c r="B30" s="947" t="s">
        <v>409</v>
      </c>
      <c r="C30" s="948" t="s">
        <v>501</v>
      </c>
      <c r="D30" s="211" t="s">
        <v>430</v>
      </c>
      <c r="E30" s="264"/>
      <c r="F30" s="215" t="s">
        <v>380</v>
      </c>
      <c r="G30" s="265" t="s">
        <v>33</v>
      </c>
      <c r="H30" s="949">
        <f t="shared" si="6"/>
        <v>100</v>
      </c>
      <c r="I30" s="155">
        <v>100</v>
      </c>
      <c r="J30" s="195">
        <f>'Свод по №26'!L6</f>
        <v>1552.44</v>
      </c>
      <c r="K30" s="177">
        <f t="shared" si="4"/>
        <v>155244</v>
      </c>
      <c r="L30" s="195"/>
      <c r="M30" s="177">
        <f t="shared" si="2"/>
        <v>0</v>
      </c>
      <c r="N30" s="177">
        <f t="shared" si="5"/>
        <v>155244</v>
      </c>
      <c r="S30" s="899">
        <v>1144.6849999999999</v>
      </c>
      <c r="T30" s="975">
        <f t="shared" si="3"/>
        <v>0.35621590219143262</v>
      </c>
    </row>
    <row r="31" spans="1:20" s="210" customFormat="1" ht="45" outlineLevel="2" x14ac:dyDescent="0.25">
      <c r="A31" s="258">
        <v>27</v>
      </c>
      <c r="B31" s="947" t="s">
        <v>410</v>
      </c>
      <c r="C31" s="948" t="s">
        <v>501</v>
      </c>
      <c r="D31" s="211" t="s">
        <v>432</v>
      </c>
      <c r="E31" s="264"/>
      <c r="F31" s="215" t="s">
        <v>425</v>
      </c>
      <c r="G31" s="265" t="s">
        <v>476</v>
      </c>
      <c r="H31" s="949">
        <f t="shared" si="6"/>
        <v>10</v>
      </c>
      <c r="I31" s="155">
        <v>10</v>
      </c>
      <c r="J31" s="195">
        <f>'Свод по №27'!L6</f>
        <v>1238.7</v>
      </c>
      <c r="K31" s="177">
        <f t="shared" si="4"/>
        <v>12387</v>
      </c>
      <c r="L31" s="195"/>
      <c r="M31" s="177">
        <f t="shared" si="2"/>
        <v>0</v>
      </c>
      <c r="N31" s="177">
        <f t="shared" si="5"/>
        <v>12387</v>
      </c>
      <c r="S31" s="899">
        <v>1233.76</v>
      </c>
      <c r="T31" s="975">
        <f t="shared" si="3"/>
        <v>4.0040202308391226E-3</v>
      </c>
    </row>
    <row r="32" spans="1:20" s="210" customFormat="1" ht="89.25" outlineLevel="2" x14ac:dyDescent="0.25">
      <c r="A32" s="258">
        <v>28</v>
      </c>
      <c r="B32" s="947" t="s">
        <v>411</v>
      </c>
      <c r="C32" s="948" t="s">
        <v>502</v>
      </c>
      <c r="D32" s="211" t="s">
        <v>434</v>
      </c>
      <c r="E32" s="264"/>
      <c r="F32" s="215" t="s">
        <v>435</v>
      </c>
      <c r="G32" s="265" t="s">
        <v>477</v>
      </c>
      <c r="H32" s="949">
        <f t="shared" si="6"/>
        <v>5</v>
      </c>
      <c r="I32" s="155">
        <v>5</v>
      </c>
      <c r="J32" s="195">
        <f>'Свод по №28'!L6</f>
        <v>1147.45</v>
      </c>
      <c r="K32" s="177">
        <f>I32*J32</f>
        <v>5737.25</v>
      </c>
      <c r="L32" s="195"/>
      <c r="M32" s="177">
        <f t="shared" si="2"/>
        <v>0</v>
      </c>
      <c r="N32" s="177">
        <f t="shared" si="5"/>
        <v>5737.25</v>
      </c>
      <c r="S32" s="899">
        <v>1472.34</v>
      </c>
      <c r="T32" s="975">
        <f t="shared" si="3"/>
        <v>-0.22066234701223897</v>
      </c>
    </row>
    <row r="33" spans="1:20" s="902" customFormat="1" x14ac:dyDescent="0.25">
      <c r="A33" s="1201" t="s">
        <v>1405</v>
      </c>
      <c r="B33" s="1202"/>
      <c r="C33" s="1202"/>
      <c r="D33" s="1202"/>
      <c r="E33" s="1202"/>
      <c r="F33" s="1202"/>
      <c r="G33" s="1203"/>
      <c r="H33" s="949"/>
      <c r="I33" s="621"/>
      <c r="J33" s="903"/>
      <c r="K33" s="177"/>
      <c r="L33" s="903"/>
      <c r="M33" s="177"/>
      <c r="N33" s="177"/>
    </row>
    <row r="34" spans="1:20" s="902" customFormat="1" ht="51" outlineLevel="1" x14ac:dyDescent="0.25">
      <c r="A34" s="258">
        <v>29</v>
      </c>
      <c r="B34" s="947" t="s">
        <v>1378</v>
      </c>
      <c r="C34" s="948" t="s">
        <v>1341</v>
      </c>
      <c r="D34" s="211" t="s">
        <v>1303</v>
      </c>
      <c r="E34" s="264"/>
      <c r="F34" s="215" t="s">
        <v>1342</v>
      </c>
      <c r="G34" s="265" t="s">
        <v>1354</v>
      </c>
      <c r="H34" s="949">
        <f t="shared" si="6"/>
        <v>7008</v>
      </c>
      <c r="I34" s="621">
        <v>7008</v>
      </c>
      <c r="J34" s="903">
        <f>'№29 раб.'!J24</f>
        <v>289.85445205479448</v>
      </c>
      <c r="K34" s="177">
        <f>I34*J34</f>
        <v>2031299.9999999998</v>
      </c>
      <c r="L34" s="903"/>
      <c r="M34" s="177">
        <f t="shared" ref="M34:M37" si="7">ROUND(($M$41/$H$41*H34),2)</f>
        <v>0</v>
      </c>
      <c r="N34" s="177">
        <f t="shared" ref="N34:N37" si="8">SUM(K34:M34)</f>
        <v>2031299.9999999998</v>
      </c>
      <c r="O34" s="165">
        <f>№29!J31+№29!J8</f>
        <v>5001363.9706248036</v>
      </c>
      <c r="P34" s="165">
        <f>N34-O34</f>
        <v>-2970063.9706248036</v>
      </c>
    </row>
    <row r="35" spans="1:20" s="902" customFormat="1" ht="51" outlineLevel="1" x14ac:dyDescent="0.25">
      <c r="A35" s="258">
        <v>30</v>
      </c>
      <c r="B35" s="947" t="s">
        <v>1379</v>
      </c>
      <c r="C35" s="948" t="s">
        <v>1380</v>
      </c>
      <c r="D35" s="211" t="s">
        <v>1304</v>
      </c>
      <c r="E35" s="264"/>
      <c r="F35" s="215" t="s">
        <v>1343</v>
      </c>
      <c r="G35" s="265" t="s">
        <v>1355</v>
      </c>
      <c r="H35" s="949">
        <f t="shared" si="6"/>
        <v>496</v>
      </c>
      <c r="I35" s="621">
        <v>496</v>
      </c>
      <c r="J35" s="903">
        <f>'№30 раб.'!J23</f>
        <v>2402.46279</v>
      </c>
      <c r="K35" s="177">
        <f t="shared" ref="K35:K37" si="9">I35*J35</f>
        <v>1191621.5438399999</v>
      </c>
      <c r="L35" s="903"/>
      <c r="M35" s="177">
        <f t="shared" si="7"/>
        <v>0</v>
      </c>
      <c r="N35" s="177">
        <f t="shared" si="8"/>
        <v>1191621.5438399999</v>
      </c>
      <c r="O35" s="165">
        <f>№30!J7</f>
        <v>1191621.54</v>
      </c>
      <c r="P35" s="165">
        <f t="shared" ref="P35:P37" si="10">N35-O35</f>
        <v>3.8399999029934406E-3</v>
      </c>
    </row>
    <row r="36" spans="1:20" s="902" customFormat="1" ht="63.75" outlineLevel="1" x14ac:dyDescent="0.25">
      <c r="A36" s="258">
        <v>31</v>
      </c>
      <c r="B36" s="947" t="s">
        <v>1381</v>
      </c>
      <c r="C36" s="948" t="s">
        <v>1382</v>
      </c>
      <c r="D36" s="211" t="s">
        <v>1305</v>
      </c>
      <c r="E36" s="264"/>
      <c r="F36" s="215" t="s">
        <v>1343</v>
      </c>
      <c r="G36" s="265" t="s">
        <v>1352</v>
      </c>
      <c r="H36" s="949">
        <f t="shared" si="6"/>
        <v>125</v>
      </c>
      <c r="I36" s="621">
        <v>125</v>
      </c>
      <c r="J36" s="903">
        <f>'№31 раб.'!J23</f>
        <v>8498.9568652800008</v>
      </c>
      <c r="K36" s="177">
        <f t="shared" si="9"/>
        <v>1062369.6081600001</v>
      </c>
      <c r="L36" s="903"/>
      <c r="M36" s="177">
        <f t="shared" si="7"/>
        <v>0</v>
      </c>
      <c r="N36" s="177">
        <f t="shared" si="8"/>
        <v>1062369.6081600001</v>
      </c>
      <c r="O36" s="165">
        <f>№31!J7</f>
        <v>1062369.6100000001</v>
      </c>
      <c r="P36" s="165">
        <f t="shared" si="10"/>
        <v>-1.8400000408291817E-3</v>
      </c>
    </row>
    <row r="37" spans="1:20" s="902" customFormat="1" ht="166.5" outlineLevel="1" thickBot="1" x14ac:dyDescent="0.3">
      <c r="A37" s="260">
        <v>32</v>
      </c>
      <c r="B37" s="273" t="s">
        <v>1383</v>
      </c>
      <c r="C37" s="272" t="s">
        <v>1384</v>
      </c>
      <c r="D37" s="261" t="s">
        <v>1306</v>
      </c>
      <c r="E37" s="266"/>
      <c r="F37" s="267" t="s">
        <v>1342</v>
      </c>
      <c r="G37" s="268" t="s">
        <v>1353</v>
      </c>
      <c r="H37" s="949">
        <f t="shared" si="6"/>
        <v>26</v>
      </c>
      <c r="I37" s="621">
        <v>26</v>
      </c>
      <c r="J37" s="903">
        <f>'№32 раб.'!J46</f>
        <v>159192.33280307695</v>
      </c>
      <c r="K37" s="177">
        <f t="shared" si="9"/>
        <v>4139000.6528800009</v>
      </c>
      <c r="L37" s="903"/>
      <c r="M37" s="177">
        <f t="shared" si="7"/>
        <v>0</v>
      </c>
      <c r="N37" s="177">
        <f t="shared" si="8"/>
        <v>4139000.6528800009</v>
      </c>
      <c r="O37" s="165">
        <f>№32!J53+№32!J7</f>
        <v>4086496.65</v>
      </c>
      <c r="P37" s="165">
        <f t="shared" si="10"/>
        <v>52504.002880000975</v>
      </c>
    </row>
    <row r="38" spans="1:20" s="293" customFormat="1" ht="15" hidden="1" customHeight="1" x14ac:dyDescent="0.25">
      <c r="A38" s="385"/>
      <c r="B38" s="386"/>
      <c r="C38" s="386"/>
      <c r="D38" s="120"/>
      <c r="E38" s="186"/>
      <c r="F38" s="118"/>
      <c r="G38" s="1089" t="s">
        <v>383</v>
      </c>
      <c r="H38" s="387">
        <f t="shared" ref="H38:N38" si="11">SUM(H25:H32)</f>
        <v>864</v>
      </c>
      <c r="I38" s="177">
        <f t="shared" si="11"/>
        <v>864</v>
      </c>
      <c r="J38" s="177">
        <f t="shared" si="11"/>
        <v>40781.762631579993</v>
      </c>
      <c r="K38" s="177">
        <f t="shared" si="11"/>
        <v>1521212.1200000099</v>
      </c>
      <c r="L38" s="177">
        <f t="shared" si="11"/>
        <v>0</v>
      </c>
      <c r="M38" s="177">
        <f t="shared" si="11"/>
        <v>0</v>
      </c>
      <c r="N38" s="565">
        <f t="shared" si="11"/>
        <v>1521212.1200000099</v>
      </c>
      <c r="O38" s="293" t="s">
        <v>478</v>
      </c>
      <c r="P38" s="899">
        <f>1506000+15212.12</f>
        <v>1521212.12</v>
      </c>
      <c r="Q38" s="165">
        <f>P38-N38</f>
        <v>-9.7788870334625244E-9</v>
      </c>
    </row>
    <row r="39" spans="1:20" s="895" customFormat="1" ht="15" hidden="1" customHeight="1" x14ac:dyDescent="0.25">
      <c r="A39" s="385"/>
      <c r="B39" s="386"/>
      <c r="C39" s="386"/>
      <c r="D39" s="120"/>
      <c r="E39" s="186"/>
      <c r="F39" s="118"/>
      <c r="G39" s="1089"/>
      <c r="H39" s="897">
        <f>SUM(H34:H37)</f>
        <v>7655</v>
      </c>
      <c r="I39" s="897">
        <f t="shared" ref="I39:N39" si="12">SUM(I34:I37)</f>
        <v>7655</v>
      </c>
      <c r="J39" s="897">
        <f t="shared" si="12"/>
        <v>170383.60691041173</v>
      </c>
      <c r="K39" s="897">
        <f t="shared" si="12"/>
        <v>8424291.8048800007</v>
      </c>
      <c r="L39" s="897">
        <f t="shared" si="12"/>
        <v>0</v>
      </c>
      <c r="M39" s="897">
        <f t="shared" si="12"/>
        <v>0</v>
      </c>
      <c r="N39" s="565">
        <f t="shared" si="12"/>
        <v>8424291.8048800007</v>
      </c>
      <c r="O39" s="895" t="s">
        <v>1299</v>
      </c>
      <c r="P39" s="899">
        <f>3665200+R39</f>
        <v>8424291.8042550404</v>
      </c>
      <c r="Q39" s="165">
        <f t="shared" ref="Q39:Q41" si="13">P39-N39</f>
        <v>-6.249602884054184E-4</v>
      </c>
      <c r="R39" s="165">
        <f>№32!J11</f>
        <v>4759091.8042550404</v>
      </c>
      <c r="S39" s="895" t="s">
        <v>1338</v>
      </c>
      <c r="T39" s="899">
        <f>6582759.97+4759091.8</f>
        <v>11341851.77</v>
      </c>
    </row>
    <row r="40" spans="1:20" s="293" customFormat="1" ht="15" hidden="1" customHeight="1" x14ac:dyDescent="0.25">
      <c r="A40" s="385"/>
      <c r="B40" s="120"/>
      <c r="C40" s="386"/>
      <c r="D40" s="120"/>
      <c r="E40" s="186"/>
      <c r="F40" s="118"/>
      <c r="G40" s="1112"/>
      <c r="H40" s="387">
        <f t="shared" ref="H40:N40" si="14">SUM(H5:H24)</f>
        <v>274063</v>
      </c>
      <c r="I40" s="193">
        <f t="shared" si="14"/>
        <v>265212.859</v>
      </c>
      <c r="J40" s="177">
        <f t="shared" si="14"/>
        <v>669410.18233430816</v>
      </c>
      <c r="K40" s="177">
        <f t="shared" si="14"/>
        <v>70012655.804247707</v>
      </c>
      <c r="L40" s="177">
        <f t="shared" si="14"/>
        <v>557224.99999999988</v>
      </c>
      <c r="M40" s="177">
        <f t="shared" si="14"/>
        <v>0</v>
      </c>
      <c r="N40" s="904">
        <f t="shared" si="14"/>
        <v>70569880.804247677</v>
      </c>
      <c r="O40" s="293" t="s">
        <v>1300</v>
      </c>
      <c r="P40" s="5">
        <f>72790200-P39</f>
        <v>64365908.195744962</v>
      </c>
      <c r="Q40" s="165">
        <f t="shared" si="13"/>
        <v>-6203972.6085027158</v>
      </c>
      <c r="R40" s="945" t="s">
        <v>1299</v>
      </c>
      <c r="S40" s="942">
        <f>T39-N39</f>
        <v>2917559.9651199989</v>
      </c>
    </row>
    <row r="41" spans="1:20" x14ac:dyDescent="0.25">
      <c r="B41" s="48"/>
      <c r="C41" s="2"/>
      <c r="F41" s="10"/>
      <c r="G41" s="1112"/>
      <c r="H41" s="387">
        <f>SUM(H5:H37)</f>
        <v>282582</v>
      </c>
      <c r="I41" s="193">
        <f>SUM(I5:I37)</f>
        <v>273731.859</v>
      </c>
      <c r="J41" s="195">
        <f>SUM(J5:J37)</f>
        <v>880575.55187629978</v>
      </c>
      <c r="K41" s="177">
        <f>SUM(K5:K37)</f>
        <v>79958159.72912772</v>
      </c>
      <c r="L41" s="195">
        <f>'Налог на им-во'!AC103</f>
        <v>557225</v>
      </c>
      <c r="M41" s="177"/>
      <c r="N41" s="177">
        <f>SUM(N5:N37)</f>
        <v>80515384.72912769</v>
      </c>
      <c r="O41" t="s">
        <v>671</v>
      </c>
      <c r="P41" s="499">
        <f>SUM(P38:P40)</f>
        <v>74311412.120000005</v>
      </c>
      <c r="Q41" s="165">
        <f t="shared" si="13"/>
        <v>-6203972.6091276854</v>
      </c>
    </row>
    <row r="42" spans="1:20" ht="8.25" customHeight="1" x14ac:dyDescent="0.25">
      <c r="C42" s="2"/>
      <c r="H42" s="111"/>
      <c r="I42" s="4"/>
      <c r="L42" s="944"/>
      <c r="M42" s="944"/>
      <c r="N42" s="944"/>
      <c r="O42" s="944"/>
      <c r="P42" s="499"/>
    </row>
    <row r="43" spans="1:20" s="1" customFormat="1" x14ac:dyDescent="0.25">
      <c r="A43" s="1199" t="s">
        <v>1448</v>
      </c>
      <c r="B43" s="1199"/>
      <c r="C43" s="31"/>
      <c r="D43" s="113" t="s">
        <v>1024</v>
      </c>
      <c r="E43" s="201"/>
      <c r="F43" s="201"/>
      <c r="G43" s="201"/>
      <c r="H43" s="48"/>
      <c r="I43" s="893">
        <v>265161.20699999999</v>
      </c>
      <c r="J43" s="269"/>
      <c r="K43" s="269"/>
      <c r="L43" s="942"/>
      <c r="O43" s="943"/>
      <c r="P43" s="5"/>
    </row>
    <row r="44" spans="1:20" s="1" customFormat="1" x14ac:dyDescent="0.25">
      <c r="A44" s="203"/>
      <c r="B44" s="29"/>
      <c r="C44" s="28"/>
      <c r="D44" s="115"/>
      <c r="E44" s="201"/>
      <c r="F44" s="201"/>
      <c r="G44" s="201"/>
      <c r="H44" s="48"/>
      <c r="I44" s="910"/>
      <c r="J44" s="269"/>
      <c r="K44" s="269"/>
      <c r="L44" s="942"/>
      <c r="M44" s="943"/>
      <c r="N44" s="942"/>
      <c r="O44" s="943"/>
    </row>
    <row r="45" spans="1:20" s="1" customFormat="1" x14ac:dyDescent="0.25">
      <c r="A45" s="202"/>
      <c r="B45" s="30"/>
      <c r="C45" s="28"/>
      <c r="D45" s="115"/>
      <c r="E45" s="201"/>
      <c r="F45" s="201"/>
      <c r="G45" s="201"/>
      <c r="H45" s="48"/>
      <c r="I45" s="269"/>
      <c r="J45" s="269"/>
      <c r="K45" s="269"/>
      <c r="L45" s="943"/>
      <c r="M45" s="943"/>
      <c r="N45" s="942"/>
      <c r="O45" s="943"/>
    </row>
    <row r="46" spans="1:20" s="1" customFormat="1" x14ac:dyDescent="0.25">
      <c r="A46" s="1200" t="s">
        <v>151</v>
      </c>
      <c r="B46" s="1200"/>
      <c r="C46" s="31"/>
      <c r="D46" s="48" t="s">
        <v>203</v>
      </c>
      <c r="E46" s="201"/>
      <c r="F46" s="201"/>
      <c r="G46" s="201"/>
      <c r="H46" s="48"/>
      <c r="I46" s="269"/>
      <c r="J46" s="269"/>
      <c r="K46" s="269"/>
      <c r="L46" s="943"/>
      <c r="M46" s="943"/>
      <c r="N46" s="943"/>
      <c r="O46" s="943"/>
    </row>
    <row r="47" spans="1:20" s="1" customFormat="1" x14ac:dyDescent="0.25">
      <c r="A47" s="201"/>
      <c r="D47" s="48"/>
      <c r="E47" s="201"/>
      <c r="F47" s="201"/>
      <c r="G47" s="201"/>
      <c r="H47" s="48"/>
      <c r="L47" s="943"/>
      <c r="M47" s="943"/>
      <c r="N47" s="943"/>
      <c r="O47" s="943"/>
    </row>
    <row r="48" spans="1:20" s="1" customFormat="1" x14ac:dyDescent="0.25">
      <c r="A48" s="201"/>
      <c r="D48" s="48"/>
      <c r="E48" s="201"/>
      <c r="F48" s="201"/>
      <c r="G48" s="201"/>
      <c r="H48" s="48"/>
      <c r="L48" s="943"/>
      <c r="M48" s="943"/>
      <c r="N48" s="943"/>
      <c r="O48" s="943"/>
    </row>
    <row r="49" spans="1:8" s="1" customFormat="1" x14ac:dyDescent="0.25">
      <c r="A49" s="204" t="s">
        <v>381</v>
      </c>
      <c r="D49" s="48"/>
      <c r="E49" s="201"/>
      <c r="F49" s="201"/>
      <c r="G49" s="201"/>
      <c r="H49" s="48"/>
    </row>
    <row r="50" spans="1:8" s="1" customFormat="1" x14ac:dyDescent="0.25">
      <c r="A50" s="204" t="s">
        <v>382</v>
      </c>
      <c r="D50" s="48"/>
      <c r="E50" s="201"/>
      <c r="F50" s="201"/>
      <c r="G50" s="201"/>
      <c r="H50" s="48"/>
    </row>
  </sheetData>
  <mergeCells count="6">
    <mergeCell ref="A1:N1"/>
    <mergeCell ref="G38:G41"/>
    <mergeCell ref="A43:B43"/>
    <mergeCell ref="A46:B46"/>
    <mergeCell ref="A33:G33"/>
    <mergeCell ref="A4:G4"/>
  </mergeCells>
  <printOptions horizontalCentered="1"/>
  <pageMargins left="0.23622047244094491" right="0.23622047244094491" top="0.59055118110236227" bottom="0.35433070866141736" header="0" footer="0"/>
  <pageSetup paperSize="9" scale="60" orientation="landscape" r:id="rId1"/>
  <colBreaks count="1" manualBreakCount="1">
    <brk id="14" max="1048575" man="1"/>
  </colBreaks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7"/>
  <sheetViews>
    <sheetView tabSelected="1" zoomScaleNormal="100" workbookViewId="0">
      <pane xSplit="1" ySplit="3" topLeftCell="B32" activePane="bottomRight" state="frozen"/>
      <selection activeCell="C6" sqref="C6"/>
      <selection pane="topRight" activeCell="C6" sqref="C6"/>
      <selection pane="bottomLeft" activeCell="C6" sqref="C6"/>
      <selection pane="bottomRight" activeCell="H48" sqref="H48"/>
    </sheetView>
  </sheetViews>
  <sheetFormatPr defaultColWidth="8.85546875" defaultRowHeight="15" outlineLevelRow="1" x14ac:dyDescent="0.25"/>
  <cols>
    <col min="1" max="1" width="42" style="48" customWidth="1"/>
    <col min="2" max="2" width="19.85546875" style="48" customWidth="1"/>
    <col min="3" max="3" width="21.85546875" style="48" customWidth="1"/>
    <col min="4" max="4" width="18" style="48" customWidth="1"/>
    <col min="5" max="5" width="16.28515625" style="48" bestFit="1" customWidth="1"/>
    <col min="6" max="6" width="16.85546875" style="48" bestFit="1" customWidth="1"/>
    <col min="7" max="7" width="19.140625" style="48" customWidth="1"/>
    <col min="8" max="8" width="6.140625" style="48" customWidth="1"/>
    <col min="9" max="16384" width="8.85546875" style="48"/>
  </cols>
  <sheetData>
    <row r="1" spans="1:8" ht="52.5" customHeight="1" x14ac:dyDescent="0.25">
      <c r="A1" s="1204" t="s">
        <v>1450</v>
      </c>
      <c r="B1" s="1204"/>
      <c r="C1" s="1204"/>
      <c r="D1" s="1204"/>
      <c r="E1" s="1204"/>
      <c r="F1" s="1204"/>
      <c r="G1" s="1204"/>
    </row>
    <row r="2" spans="1:8" ht="75" x14ac:dyDescent="0.25">
      <c r="A2" s="25" t="s">
        <v>191</v>
      </c>
      <c r="B2" s="25" t="s">
        <v>1415</v>
      </c>
      <c r="C2" s="32" t="s">
        <v>1416</v>
      </c>
      <c r="D2" s="26" t="s">
        <v>1417</v>
      </c>
      <c r="E2" s="27" t="s">
        <v>192</v>
      </c>
      <c r="F2" s="26" t="s">
        <v>193</v>
      </c>
      <c r="G2" s="26" t="s">
        <v>1418</v>
      </c>
    </row>
    <row r="3" spans="1:8" x14ac:dyDescent="0.25">
      <c r="A3" s="107">
        <v>1</v>
      </c>
      <c r="B3" s="107">
        <v>2</v>
      </c>
      <c r="C3" s="107">
        <v>3</v>
      </c>
      <c r="D3" s="107">
        <v>4</v>
      </c>
      <c r="E3" s="107">
        <v>5</v>
      </c>
      <c r="F3" s="107">
        <v>6</v>
      </c>
      <c r="G3" s="107" t="s">
        <v>194</v>
      </c>
    </row>
    <row r="4" spans="1:8" ht="63.75" x14ac:dyDescent="0.25">
      <c r="A4" s="159" t="str">
        <f>'Свод РЦВК 2020'!D5</f>
        <v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v>
      </c>
      <c r="B4" s="1220" t="s">
        <v>195</v>
      </c>
      <c r="C4" s="3" t="s">
        <v>196</v>
      </c>
      <c r="D4" s="108">
        <f>'Свод РЦВК 2020'!J5</f>
        <v>295.37001249918632</v>
      </c>
      <c r="E4" s="109">
        <v>1</v>
      </c>
      <c r="F4" s="109">
        <v>1</v>
      </c>
      <c r="G4" s="110">
        <f>D4*E4*F4</f>
        <v>295.37001249918632</v>
      </c>
      <c r="H4" s="48">
        <v>1</v>
      </c>
    </row>
    <row r="5" spans="1:8" ht="38.25" x14ac:dyDescent="0.25">
      <c r="A5" s="159" t="str">
        <f>'Свод РЦВК 2020'!D6</f>
        <v>Проведение ветеринарно-санитарной экспертизы сырья и продукции животного происхождения на трихинеллез</v>
      </c>
      <c r="B5" s="1220" t="s">
        <v>198</v>
      </c>
      <c r="C5" s="3" t="s">
        <v>196</v>
      </c>
      <c r="D5" s="108">
        <f>'Свод РЦВК 2020'!J6</f>
        <v>224.94676903817879</v>
      </c>
      <c r="E5" s="109">
        <v>1</v>
      </c>
      <c r="F5" s="109">
        <v>1</v>
      </c>
      <c r="G5" s="110">
        <f t="shared" ref="G5:G23" si="0">D5*E5*F5</f>
        <v>224.94676903817879</v>
      </c>
      <c r="H5" s="48">
        <v>2</v>
      </c>
    </row>
    <row r="6" spans="1:8" ht="38.25" x14ac:dyDescent="0.25">
      <c r="A6" s="159" t="str">
        <f>'Свод РЦВК 2020'!D7</f>
        <v>Проведение ветеринарно-санитарной экспертизы сырья и продукции животного происхождения на трихинеллез</v>
      </c>
      <c r="B6" s="1220" t="s">
        <v>197</v>
      </c>
      <c r="C6" s="3" t="s">
        <v>196</v>
      </c>
      <c r="D6" s="108">
        <f>'Свод РЦВК 2020'!J7</f>
        <v>196.40396903817879</v>
      </c>
      <c r="E6" s="109">
        <v>1</v>
      </c>
      <c r="F6" s="109">
        <v>1</v>
      </c>
      <c r="G6" s="110">
        <f t="shared" si="0"/>
        <v>196.40396903817879</v>
      </c>
      <c r="H6" s="48">
        <v>3</v>
      </c>
    </row>
    <row r="7" spans="1:8" ht="38.25" x14ac:dyDescent="0.25">
      <c r="A7" s="159" t="str">
        <f>'Свод РЦВК 2020'!D8</f>
        <v>Проведение ветеринарно-санитарной экспертизы сырья и продукции животного происхождения на трихинеллез</v>
      </c>
      <c r="B7" s="1220" t="s">
        <v>195</v>
      </c>
      <c r="C7" s="3" t="s">
        <v>196</v>
      </c>
      <c r="D7" s="108">
        <f>'Свод РЦВК 2020'!J8</f>
        <v>637.21787591878797</v>
      </c>
      <c r="E7" s="109">
        <v>1</v>
      </c>
      <c r="F7" s="109">
        <v>1</v>
      </c>
      <c r="G7" s="110">
        <f t="shared" si="0"/>
        <v>637.21787591878797</v>
      </c>
      <c r="H7" s="48">
        <v>4</v>
      </c>
    </row>
    <row r="8" spans="1:8" ht="51" x14ac:dyDescent="0.25">
      <c r="A8" s="159" t="str">
        <f>'Свод РЦВК 2020'!D9</f>
        <v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v>
      </c>
      <c r="B8" s="1220" t="s">
        <v>195</v>
      </c>
      <c r="C8" s="3" t="s">
        <v>196</v>
      </c>
      <c r="D8" s="108">
        <f>'Свод РЦВК 2020'!J9</f>
        <v>2418.0447690381784</v>
      </c>
      <c r="E8" s="109">
        <v>1</v>
      </c>
      <c r="F8" s="109">
        <v>1</v>
      </c>
      <c r="G8" s="110">
        <f t="shared" si="0"/>
        <v>2418.0447690381784</v>
      </c>
      <c r="H8" s="48">
        <v>5</v>
      </c>
    </row>
    <row r="9" spans="1:8" ht="63.75" x14ac:dyDescent="0.25">
      <c r="A9" s="159" t="str">
        <f>'Свод РЦВК 2020'!D10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B9" s="1220" t="s">
        <v>197</v>
      </c>
      <c r="C9" s="3" t="s">
        <v>196</v>
      </c>
      <c r="D9" s="108">
        <f>'Свод РЦВК 2020'!J10</f>
        <v>199.40396903817879</v>
      </c>
      <c r="E9" s="109">
        <v>1</v>
      </c>
      <c r="F9" s="109">
        <v>1</v>
      </c>
      <c r="G9" s="110">
        <f t="shared" si="0"/>
        <v>199.40396903817879</v>
      </c>
      <c r="H9" s="48">
        <v>6</v>
      </c>
    </row>
    <row r="10" spans="1:8" ht="63.75" x14ac:dyDescent="0.25">
      <c r="A10" s="159" t="str">
        <f>'Свод РЦВК 2020'!D11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B10" s="1220" t="s">
        <v>195</v>
      </c>
      <c r="C10" s="3" t="s">
        <v>196</v>
      </c>
      <c r="D10" s="108">
        <f>'Свод РЦВК 2020'!J11</f>
        <v>2034.7567690381793</v>
      </c>
      <c r="E10" s="109">
        <v>1</v>
      </c>
      <c r="F10" s="109">
        <v>1</v>
      </c>
      <c r="G10" s="110">
        <f t="shared" si="0"/>
        <v>2034.7567690381793</v>
      </c>
      <c r="H10" s="48">
        <v>7</v>
      </c>
    </row>
    <row r="11" spans="1:8" ht="63.75" x14ac:dyDescent="0.25">
      <c r="A11" s="159" t="str">
        <f>'Свод РЦВК 2020'!D12</f>
        <v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v>
      </c>
      <c r="B11" s="1220" t="s">
        <v>198</v>
      </c>
      <c r="C11" s="3" t="s">
        <v>196</v>
      </c>
      <c r="D11" s="108">
        <f>'Свод РЦВК 2020'!J12</f>
        <v>678.45843395964482</v>
      </c>
      <c r="E11" s="109">
        <v>1</v>
      </c>
      <c r="F11" s="109">
        <v>1</v>
      </c>
      <c r="G11" s="110">
        <f t="shared" si="0"/>
        <v>678.45843395964482</v>
      </c>
      <c r="H11" s="48">
        <v>8</v>
      </c>
    </row>
    <row r="12" spans="1:8" ht="51" x14ac:dyDescent="0.25">
      <c r="A12" s="159" t="str">
        <f>'Свод РЦВК 2020'!D13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B12" s="1220" t="s">
        <v>198</v>
      </c>
      <c r="C12" s="3" t="s">
        <v>196</v>
      </c>
      <c r="D12" s="108">
        <f>'Свод РЦВК 2020'!J13</f>
        <v>288.98196903817882</v>
      </c>
      <c r="E12" s="109">
        <v>1</v>
      </c>
      <c r="F12" s="109">
        <v>1</v>
      </c>
      <c r="G12" s="110">
        <f t="shared" si="0"/>
        <v>288.98196903817882</v>
      </c>
      <c r="H12" s="48">
        <v>9</v>
      </c>
    </row>
    <row r="13" spans="1:8" ht="51" x14ac:dyDescent="0.25">
      <c r="A13" s="159" t="str">
        <f>'Свод РЦВК 2020'!D14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B13" s="1220" t="s">
        <v>201</v>
      </c>
      <c r="C13" s="3" t="s">
        <v>196</v>
      </c>
      <c r="D13" s="108">
        <f>'Свод РЦВК 2020'!J14</f>
        <v>505.58956903817875</v>
      </c>
      <c r="E13" s="109">
        <v>1</v>
      </c>
      <c r="F13" s="109">
        <v>1</v>
      </c>
      <c r="G13" s="110">
        <f t="shared" si="0"/>
        <v>505.58956903817875</v>
      </c>
      <c r="H13" s="48">
        <v>10</v>
      </c>
    </row>
    <row r="14" spans="1:8" ht="51" x14ac:dyDescent="0.25">
      <c r="A14" s="159" t="str">
        <f>'Свод РЦВК 2020'!D15</f>
        <v>Проведение плановых диагностических мероприятий на особо опасные болезни животных (птиц) и болезни общие для человека и животных (птиц)</v>
      </c>
      <c r="B14" s="1220" t="s">
        <v>198</v>
      </c>
      <c r="C14" s="3" t="s">
        <v>196</v>
      </c>
      <c r="D14" s="108">
        <f>'Свод РЦВК 2020'!J15</f>
        <v>400.34756903817879</v>
      </c>
      <c r="E14" s="109">
        <v>1</v>
      </c>
      <c r="F14" s="109">
        <v>1</v>
      </c>
      <c r="G14" s="110">
        <f t="shared" si="0"/>
        <v>400.34756903817879</v>
      </c>
      <c r="H14" s="48">
        <v>11</v>
      </c>
    </row>
    <row r="15" spans="1:8" ht="51" x14ac:dyDescent="0.25">
      <c r="A15" s="159" t="str">
        <f>'Свод РЦВК 2020'!D16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B15" s="1220" t="s">
        <v>676</v>
      </c>
      <c r="C15" s="3" t="s">
        <v>196</v>
      </c>
      <c r="D15" s="108">
        <f>'Свод РЦВК 2020'!J16</f>
        <v>270445.56903817883</v>
      </c>
      <c r="E15" s="109">
        <v>1</v>
      </c>
      <c r="F15" s="109">
        <v>1</v>
      </c>
      <c r="G15" s="110">
        <f t="shared" si="0"/>
        <v>270445.56903817883</v>
      </c>
      <c r="H15" s="48">
        <v>12</v>
      </c>
    </row>
    <row r="16" spans="1:8" ht="51" x14ac:dyDescent="0.25">
      <c r="A16" s="159" t="str">
        <f>'Свод РЦВК 2020'!D17</f>
        <v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v>
      </c>
      <c r="B16" s="1220" t="s">
        <v>676</v>
      </c>
      <c r="C16" s="3" t="s">
        <v>196</v>
      </c>
      <c r="D16" s="108">
        <f>'Свод РЦВК 2020'!J17</f>
        <v>388467.56903817883</v>
      </c>
      <c r="E16" s="109">
        <v>1</v>
      </c>
      <c r="F16" s="109">
        <v>1</v>
      </c>
      <c r="G16" s="110">
        <f t="shared" si="0"/>
        <v>388467.56903817883</v>
      </c>
      <c r="H16" s="48">
        <v>13</v>
      </c>
    </row>
    <row r="17" spans="1:8" ht="59.25" customHeight="1" x14ac:dyDescent="0.25">
      <c r="A17" s="159" t="str">
        <f>'Свод РЦВК 2020'!D18</f>
        <v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v>
      </c>
      <c r="B17" s="1220" t="s">
        <v>197</v>
      </c>
      <c r="C17" s="3" t="s">
        <v>196</v>
      </c>
      <c r="D17" s="108">
        <f>'Свод РЦВК 2020'!J18</f>
        <v>347.29676903817881</v>
      </c>
      <c r="E17" s="109">
        <v>1</v>
      </c>
      <c r="F17" s="109">
        <v>1</v>
      </c>
      <c r="G17" s="110">
        <f t="shared" si="0"/>
        <v>347.29676903817881</v>
      </c>
      <c r="H17" s="48">
        <v>14</v>
      </c>
    </row>
    <row r="18" spans="1:8" ht="61.5" customHeight="1" x14ac:dyDescent="0.25">
      <c r="A18" s="159" t="str">
        <f>'Свод РЦВК 2020'!D19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B18" s="1220" t="s">
        <v>197</v>
      </c>
      <c r="C18" s="3" t="s">
        <v>196</v>
      </c>
      <c r="D18" s="108">
        <f>'Свод РЦВК 2020'!J19</f>
        <v>217.2167690381788</v>
      </c>
      <c r="E18" s="109">
        <v>1</v>
      </c>
      <c r="F18" s="109">
        <v>1</v>
      </c>
      <c r="G18" s="110">
        <f t="shared" si="0"/>
        <v>217.2167690381788</v>
      </c>
      <c r="H18" s="48">
        <v>15</v>
      </c>
    </row>
    <row r="19" spans="1:8" ht="61.5" customHeight="1" x14ac:dyDescent="0.25">
      <c r="A19" s="159" t="str">
        <f>'Свод РЦВК 2020'!D20</f>
        <v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v>
      </c>
      <c r="B19" s="1220" t="s">
        <v>202</v>
      </c>
      <c r="C19" s="3" t="s">
        <v>196</v>
      </c>
      <c r="D19" s="108">
        <f>'Свод РЦВК 2020'!J20</f>
        <v>650.68396903817882</v>
      </c>
      <c r="E19" s="109">
        <v>1</v>
      </c>
      <c r="F19" s="109">
        <v>1</v>
      </c>
      <c r="G19" s="110">
        <f t="shared" si="0"/>
        <v>650.68396903817882</v>
      </c>
      <c r="H19" s="48">
        <v>16</v>
      </c>
    </row>
    <row r="20" spans="1:8" ht="34.5" customHeight="1" x14ac:dyDescent="0.25">
      <c r="A20" s="159" t="str">
        <f>'Свод РЦВК 2020'!D21</f>
        <v xml:space="preserve">Оформление и выдача ветеринарных сопроводительных документов </v>
      </c>
      <c r="B20" s="1220" t="s">
        <v>197</v>
      </c>
      <c r="C20" s="3" t="s">
        <v>196</v>
      </c>
      <c r="D20" s="108">
        <f>'Свод РЦВК 2020'!J21</f>
        <v>164.18476903817881</v>
      </c>
      <c r="E20" s="109">
        <v>1</v>
      </c>
      <c r="F20" s="109">
        <v>1</v>
      </c>
      <c r="G20" s="110">
        <f t="shared" si="0"/>
        <v>164.18476903817881</v>
      </c>
      <c r="H20" s="48">
        <v>17</v>
      </c>
    </row>
    <row r="21" spans="1:8" ht="39" customHeight="1" x14ac:dyDescent="0.25">
      <c r="A21" s="159" t="str">
        <f>'Свод РЦВК 2020'!D22</f>
        <v>Проведение ветеринарно-санитарной экспертизы сырья и продукции животного происхождения на трихинеллез</v>
      </c>
      <c r="B21" s="1220" t="s">
        <v>195</v>
      </c>
      <c r="C21" s="3" t="s">
        <v>196</v>
      </c>
      <c r="D21" s="108">
        <f>'Свод РЦВК 2020'!J22</f>
        <v>414.46676903817877</v>
      </c>
      <c r="E21" s="109">
        <v>1</v>
      </c>
      <c r="F21" s="109">
        <v>1</v>
      </c>
      <c r="G21" s="110">
        <f t="shared" si="0"/>
        <v>414.46676903817877</v>
      </c>
      <c r="H21" s="48">
        <v>18</v>
      </c>
    </row>
    <row r="22" spans="1:8" ht="32.25" customHeight="1" x14ac:dyDescent="0.25">
      <c r="A22" s="159" t="str">
        <f>'Свод РЦВК 2020'!D23</f>
        <v>Проведение учета и контроля за состоянием скотомогильников, включая сибиреязвенные</v>
      </c>
      <c r="B22" s="1220" t="s">
        <v>202</v>
      </c>
      <c r="C22" s="175" t="s">
        <v>196</v>
      </c>
      <c r="D22" s="108">
        <f>'Свод РЦВК 2020'!J23</f>
        <v>217.2167690381788</v>
      </c>
      <c r="E22" s="109">
        <v>1</v>
      </c>
      <c r="F22" s="109">
        <v>1</v>
      </c>
      <c r="G22" s="110">
        <f t="shared" si="0"/>
        <v>217.2167690381788</v>
      </c>
      <c r="H22" s="48">
        <v>19</v>
      </c>
    </row>
    <row r="23" spans="1:8" ht="31.5" customHeight="1" x14ac:dyDescent="0.25">
      <c r="A23" s="159" t="str">
        <f>'Свод РЦВК 2020'!D24</f>
        <v>Проведение учета и контроля за состоянием скотомогильников, включая сибиреязвенные</v>
      </c>
      <c r="B23" s="1220" t="s">
        <v>202</v>
      </c>
      <c r="C23" s="175" t="s">
        <v>196</v>
      </c>
      <c r="D23" s="108">
        <f>'Свод РЦВК 2020'!J24</f>
        <v>606.45676903817878</v>
      </c>
      <c r="E23" s="109">
        <v>1</v>
      </c>
      <c r="F23" s="109">
        <v>1</v>
      </c>
      <c r="G23" s="110">
        <f t="shared" si="0"/>
        <v>606.45676903817878</v>
      </c>
      <c r="H23" s="48">
        <v>20</v>
      </c>
    </row>
    <row r="24" spans="1:8" ht="76.5" outlineLevel="1" x14ac:dyDescent="0.25">
      <c r="A24" s="159" t="str">
        <f>'Свод РЦВК 2020'!D25</f>
        <v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</v>
      </c>
      <c r="B24" s="1220" t="s">
        <v>201</v>
      </c>
      <c r="C24" s="175" t="s">
        <v>196</v>
      </c>
      <c r="D24" s="108">
        <f>'Свод РЦВК 2020'!J25</f>
        <v>16561.25631579</v>
      </c>
      <c r="E24" s="109">
        <v>1</v>
      </c>
      <c r="F24" s="109">
        <v>1</v>
      </c>
      <c r="G24" s="110">
        <f t="shared" ref="G24:G35" si="1">D24*E24*F24</f>
        <v>16561.25631579</v>
      </c>
      <c r="H24" s="48">
        <v>21</v>
      </c>
    </row>
    <row r="25" spans="1:8" ht="63.75" outlineLevel="1" x14ac:dyDescent="0.25">
      <c r="A25" s="159" t="str">
        <f>'Свод РЦВК 2020'!D26</f>
        <v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</v>
      </c>
      <c r="B25" s="1220" t="s">
        <v>201</v>
      </c>
      <c r="C25" s="175" t="s">
        <v>196</v>
      </c>
      <c r="D25" s="108">
        <f>'Свод РЦВК 2020'!J26</f>
        <v>16561.25631579</v>
      </c>
      <c r="E25" s="109">
        <v>1</v>
      </c>
      <c r="F25" s="109">
        <v>1</v>
      </c>
      <c r="G25" s="110">
        <f t="shared" si="1"/>
        <v>16561.25631579</v>
      </c>
      <c r="H25" s="48">
        <v>22</v>
      </c>
    </row>
    <row r="26" spans="1:8" ht="63.75" outlineLevel="1" x14ac:dyDescent="0.25">
      <c r="A26" s="159" t="str">
        <f>'Свод РЦВК 2020'!D27</f>
        <v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</v>
      </c>
      <c r="B26" s="1220" t="s">
        <v>197</v>
      </c>
      <c r="C26" s="175" t="s">
        <v>196</v>
      </c>
      <c r="D26" s="108">
        <f>'Свод РЦВК 2020'!J27</f>
        <v>1449.76</v>
      </c>
      <c r="E26" s="109">
        <v>1</v>
      </c>
      <c r="F26" s="109">
        <v>1</v>
      </c>
      <c r="G26" s="110">
        <f t="shared" si="1"/>
        <v>1449.76</v>
      </c>
      <c r="H26" s="48">
        <v>23</v>
      </c>
    </row>
    <row r="27" spans="1:8" ht="51" outlineLevel="1" x14ac:dyDescent="0.25">
      <c r="A27" s="159" t="str">
        <f>'Свод РЦВК 2020'!D28</f>
        <v xml:space="preserve">Проведение консультаций КФХ по проведению деятельности в части содействия в организации предпринимательской деятельности в сельском хозяйстве </v>
      </c>
      <c r="B27" s="1220" t="s">
        <v>677</v>
      </c>
      <c r="C27" s="175" t="s">
        <v>196</v>
      </c>
      <c r="D27" s="108">
        <f>'Свод РЦВК 2020'!J28</f>
        <v>1135.45</v>
      </c>
      <c r="E27" s="109">
        <v>1</v>
      </c>
      <c r="F27" s="109">
        <v>1</v>
      </c>
      <c r="G27" s="110">
        <f t="shared" si="1"/>
        <v>1135.45</v>
      </c>
      <c r="H27" s="48">
        <v>24</v>
      </c>
    </row>
    <row r="28" spans="1:8" ht="63.75" outlineLevel="1" x14ac:dyDescent="0.25">
      <c r="A28" s="159" t="str">
        <f>'Свод РЦВК 2020'!D29</f>
        <v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</v>
      </c>
      <c r="B28" s="1220" t="s">
        <v>677</v>
      </c>
      <c r="C28" s="175" t="s">
        <v>196</v>
      </c>
      <c r="D28" s="108">
        <f>'Свод РЦВК 2020'!J29</f>
        <v>1135.45</v>
      </c>
      <c r="E28" s="109">
        <v>1</v>
      </c>
      <c r="F28" s="109">
        <v>1</v>
      </c>
      <c r="G28" s="110">
        <f t="shared" si="1"/>
        <v>1135.45</v>
      </c>
      <c r="H28" s="48">
        <v>25</v>
      </c>
    </row>
    <row r="29" spans="1:8" ht="76.5" outlineLevel="1" x14ac:dyDescent="0.25">
      <c r="A29" s="159" t="str">
        <f>'Свод РЦВК 2020'!D30</f>
        <v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</v>
      </c>
      <c r="B29" s="1220" t="s">
        <v>197</v>
      </c>
      <c r="C29" s="175" t="s">
        <v>196</v>
      </c>
      <c r="D29" s="108">
        <f>'Свод РЦВК 2020'!J30</f>
        <v>1552.44</v>
      </c>
      <c r="E29" s="109">
        <v>1</v>
      </c>
      <c r="F29" s="109">
        <v>1</v>
      </c>
      <c r="G29" s="110">
        <f t="shared" si="1"/>
        <v>1552.44</v>
      </c>
      <c r="H29" s="48">
        <v>26</v>
      </c>
    </row>
    <row r="30" spans="1:8" ht="30" outlineLevel="1" x14ac:dyDescent="0.25">
      <c r="A30" s="159" t="str">
        <f>'Свод РЦВК 2020'!D31</f>
        <v>Оказание устных юридических консультаций субъектов МСП и СХК</v>
      </c>
      <c r="B30" s="1220" t="s">
        <v>677</v>
      </c>
      <c r="C30" s="175" t="s">
        <v>196</v>
      </c>
      <c r="D30" s="108">
        <f>'Свод РЦВК 2020'!J31</f>
        <v>1238.7</v>
      </c>
      <c r="E30" s="109">
        <v>1</v>
      </c>
      <c r="F30" s="109">
        <v>1</v>
      </c>
      <c r="G30" s="110">
        <f t="shared" si="1"/>
        <v>1238.7</v>
      </c>
      <c r="H30" s="48">
        <v>27</v>
      </c>
    </row>
    <row r="31" spans="1:8" ht="76.5" outlineLevel="1" x14ac:dyDescent="0.25">
      <c r="A31" s="159" t="str">
        <f>'Свод РЦВК 2020'!D32</f>
        <v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</v>
      </c>
      <c r="B31" s="1220" t="s">
        <v>436</v>
      </c>
      <c r="C31" s="175" t="s">
        <v>196</v>
      </c>
      <c r="D31" s="108">
        <f>'Свод РЦВК 2020'!J32</f>
        <v>1147.45</v>
      </c>
      <c r="E31" s="109">
        <v>1</v>
      </c>
      <c r="F31" s="109">
        <v>1</v>
      </c>
      <c r="G31" s="110">
        <f t="shared" si="1"/>
        <v>1147.45</v>
      </c>
      <c r="H31" s="48">
        <v>28</v>
      </c>
    </row>
    <row r="32" spans="1:8" ht="45" outlineLevel="1" x14ac:dyDescent="0.25">
      <c r="A32" s="159" t="str">
        <f>'Свод РЦВК 2020'!D34</f>
        <v>Автотранспортное обслуживание должностных лиц государственных органов и государственных учреждений</v>
      </c>
      <c r="B32" s="1220" t="s">
        <v>1307</v>
      </c>
      <c r="C32" s="175" t="s">
        <v>196</v>
      </c>
      <c r="D32" s="108">
        <f>'Свод РЦВК 2020'!J34</f>
        <v>289.85445205479448</v>
      </c>
      <c r="E32" s="109">
        <v>1</v>
      </c>
      <c r="F32" s="109">
        <v>1</v>
      </c>
      <c r="G32" s="110">
        <f t="shared" si="1"/>
        <v>289.85445205479448</v>
      </c>
      <c r="H32" s="48">
        <v>29</v>
      </c>
    </row>
    <row r="33" spans="1:8" ht="45" outlineLevel="1" x14ac:dyDescent="0.25">
      <c r="A33" s="159" t="str">
        <f>'Свод РЦВК 2020'!D35</f>
        <v>Формирование комплекта бюджетной отчетности государственных органов</v>
      </c>
      <c r="B33" s="1220" t="s">
        <v>1308</v>
      </c>
      <c r="C33" s="175" t="s">
        <v>196</v>
      </c>
      <c r="D33" s="108">
        <f>'Свод РЦВК 2020'!J35</f>
        <v>2402.46279</v>
      </c>
      <c r="E33" s="109">
        <v>1</v>
      </c>
      <c r="F33" s="109">
        <v>1</v>
      </c>
      <c r="G33" s="110">
        <f t="shared" si="1"/>
        <v>2402.46279</v>
      </c>
      <c r="H33" s="48">
        <v>30</v>
      </c>
    </row>
    <row r="34" spans="1:8" ht="45" outlineLevel="1" x14ac:dyDescent="0.25">
      <c r="A34" s="159" t="str">
        <f>'Свод РЦВК 2020'!D36</f>
        <v>Организация делопроизводства, комплектование, хранение, учет и использование архивных документов государственного органа</v>
      </c>
      <c r="B34" s="1220" t="s">
        <v>1309</v>
      </c>
      <c r="C34" s="175" t="s">
        <v>196</v>
      </c>
      <c r="D34" s="108">
        <f>'Свод РЦВК 2020'!J36</f>
        <v>8498.9568652800008</v>
      </c>
      <c r="E34" s="109">
        <v>1</v>
      </c>
      <c r="F34" s="109">
        <v>1</v>
      </c>
      <c r="G34" s="110">
        <f t="shared" si="1"/>
        <v>8498.9568652800008</v>
      </c>
      <c r="H34" s="48">
        <v>31</v>
      </c>
    </row>
    <row r="35" spans="1:8" ht="60" outlineLevel="1" x14ac:dyDescent="0.25">
      <c r="A35" s="159" t="str">
        <f>'Свод РЦВК 2020'!D37</f>
        <v>Обеспечение материально-технического сопровождения деятельности государственных органов</v>
      </c>
      <c r="B35" s="1220" t="s">
        <v>1310</v>
      </c>
      <c r="C35" s="175" t="s">
        <v>196</v>
      </c>
      <c r="D35" s="108">
        <f>'Свод РЦВК 2020'!J37</f>
        <v>159192.33280307695</v>
      </c>
      <c r="E35" s="109">
        <v>1</v>
      </c>
      <c r="F35" s="109">
        <v>1</v>
      </c>
      <c r="G35" s="110">
        <f t="shared" si="1"/>
        <v>159192.33280307695</v>
      </c>
      <c r="H35" s="48">
        <v>32</v>
      </c>
    </row>
    <row r="36" spans="1:8" hidden="1" x14ac:dyDescent="0.25">
      <c r="F36" s="1206" t="s">
        <v>74</v>
      </c>
      <c r="G36" s="49">
        <f>SUM(G24:G31)</f>
        <v>40781.762631579993</v>
      </c>
      <c r="H36" s="468" t="s">
        <v>478</v>
      </c>
    </row>
    <row r="37" spans="1:8" hidden="1" x14ac:dyDescent="0.25">
      <c r="F37" s="1112"/>
      <c r="G37" s="49">
        <f>SUM(G32:G35)</f>
        <v>170383.60691041173</v>
      </c>
      <c r="H37" s="901" t="s">
        <v>1299</v>
      </c>
    </row>
    <row r="38" spans="1:8" hidden="1" x14ac:dyDescent="0.25">
      <c r="F38" s="1112"/>
      <c r="G38" s="49">
        <f>SUM(G4:G23)</f>
        <v>669410.18233430816</v>
      </c>
      <c r="H38" s="468" t="s">
        <v>1300</v>
      </c>
    </row>
    <row r="39" spans="1:8" hidden="1" x14ac:dyDescent="0.25">
      <c r="F39" s="1112"/>
      <c r="G39" s="49">
        <f>SUM(G4:G35)</f>
        <v>880575.55187629978</v>
      </c>
      <c r="H39" s="517" t="s">
        <v>671</v>
      </c>
    </row>
    <row r="40" spans="1:8" x14ac:dyDescent="0.25">
      <c r="A40" s="1205" t="s">
        <v>1448</v>
      </c>
      <c r="B40" s="1205"/>
      <c r="C40" s="112"/>
      <c r="D40" s="113" t="s">
        <v>1024</v>
      </c>
    </row>
    <row r="41" spans="1:8" x14ac:dyDescent="0.25">
      <c r="A41" s="114"/>
      <c r="B41" s="114"/>
      <c r="C41" s="115"/>
      <c r="D41" s="115"/>
    </row>
    <row r="42" spans="1:8" x14ac:dyDescent="0.25">
      <c r="A42" s="469"/>
      <c r="B42" s="469"/>
      <c r="C42" s="115"/>
      <c r="D42" s="115"/>
    </row>
    <row r="43" spans="1:8" x14ac:dyDescent="0.25">
      <c r="A43" s="467" t="s">
        <v>151</v>
      </c>
      <c r="B43" s="467"/>
      <c r="C43" s="112"/>
      <c r="D43" s="48" t="s">
        <v>203</v>
      </c>
    </row>
    <row r="46" spans="1:8" x14ac:dyDescent="0.25">
      <c r="A46" s="467" t="s">
        <v>381</v>
      </c>
    </row>
    <row r="47" spans="1:8" x14ac:dyDescent="0.25">
      <c r="A47" s="467" t="s">
        <v>382</v>
      </c>
    </row>
  </sheetData>
  <mergeCells count="3">
    <mergeCell ref="A1:G1"/>
    <mergeCell ref="A40:B40"/>
    <mergeCell ref="F36:F39"/>
  </mergeCells>
  <printOptions horizontalCentered="1"/>
  <pageMargins left="0.23622047244094491" right="0.23622047244094491" top="0.59055118110236227" bottom="0.35433070866141736" header="0" footer="0"/>
  <pageSetup paperSize="9" scale="9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autoPageBreaks="0"/>
  </sheetPr>
  <dimension ref="A1:AD109"/>
  <sheetViews>
    <sheetView workbookViewId="0">
      <pane xSplit="5" ySplit="10" topLeftCell="T11" activePane="bottomRight" state="frozen"/>
      <selection activeCell="L74" sqref="L74"/>
      <selection pane="topRight" activeCell="L74" sqref="L74"/>
      <selection pane="bottomLeft" activeCell="L74" sqref="L74"/>
      <selection pane="bottomRight" activeCell="AC103" sqref="AC103"/>
    </sheetView>
  </sheetViews>
  <sheetFormatPr defaultColWidth="9" defaultRowHeight="11.45" customHeight="1" outlineLevelRow="5" x14ac:dyDescent="0.2"/>
  <cols>
    <col min="1" max="1" width="11.140625" style="519" customWidth="1"/>
    <col min="2" max="2" width="4.140625" style="519" customWidth="1"/>
    <col min="3" max="3" width="53.42578125" style="519" customWidth="1"/>
    <col min="4" max="4" width="0.7109375" style="519" customWidth="1"/>
    <col min="5" max="5" width="9.85546875" style="519" customWidth="1"/>
    <col min="6" max="6" width="21.140625" style="519" customWidth="1"/>
    <col min="7" max="7" width="18" style="519" customWidth="1"/>
    <col min="8" max="8" width="10" style="519" customWidth="1"/>
    <col min="9" max="9" width="26.42578125" style="519" bestFit="1" customWidth="1"/>
    <col min="10" max="10" width="12.28515625" style="519" customWidth="1"/>
    <col min="11" max="11" width="20" style="519" customWidth="1"/>
    <col min="12" max="12" width="8.28515625" style="519" customWidth="1"/>
    <col min="13" max="13" width="12" style="519" customWidth="1"/>
    <col min="14" max="14" width="10.28515625" style="519" customWidth="1"/>
    <col min="15" max="15" width="15" style="519" customWidth="1"/>
    <col min="16" max="16" width="8.5703125" style="519" customWidth="1"/>
    <col min="17" max="20" width="15" style="519" customWidth="1"/>
    <col min="21" max="21" width="13.5703125" style="521" customWidth="1"/>
    <col min="22" max="22" width="12.42578125" style="521" customWidth="1"/>
    <col min="23" max="23" width="11.28515625" style="521" customWidth="1"/>
    <col min="24" max="30" width="12.42578125" style="521" customWidth="1"/>
    <col min="31" max="16384" width="9" style="521"/>
  </cols>
  <sheetData>
    <row r="1" spans="1:30" s="519" customFormat="1" ht="15.75" x14ac:dyDescent="0.25">
      <c r="A1" s="518" t="s">
        <v>729</v>
      </c>
      <c r="B1" s="518"/>
      <c r="C1" s="518"/>
      <c r="D1" s="518"/>
    </row>
    <row r="2" spans="1:30" s="519" customFormat="1" ht="32.25" customHeight="1" x14ac:dyDescent="0.2">
      <c r="A2" s="1219" t="s">
        <v>730</v>
      </c>
      <c r="B2" s="1219"/>
      <c r="C2" s="1219"/>
      <c r="D2" s="1219"/>
      <c r="E2" s="1219"/>
      <c r="F2" s="1219"/>
      <c r="G2" s="1219"/>
    </row>
    <row r="3" spans="1:30" ht="11.1" customHeight="1" outlineLevel="1" x14ac:dyDescent="0.2">
      <c r="A3" s="520" t="s">
        <v>731</v>
      </c>
      <c r="B3" s="520" t="s">
        <v>732</v>
      </c>
      <c r="C3" s="520"/>
    </row>
    <row r="4" spans="1:30" ht="11.1" customHeight="1" outlineLevel="1" x14ac:dyDescent="0.2">
      <c r="B4" s="520" t="s">
        <v>733</v>
      </c>
      <c r="C4" s="520"/>
    </row>
    <row r="5" spans="1:30" ht="12.95" hidden="1" customHeight="1" x14ac:dyDescent="0.2">
      <c r="A5" s="1217" t="s">
        <v>701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4" t="s">
        <v>734</v>
      </c>
      <c r="P5" s="1214" t="s">
        <v>700</v>
      </c>
      <c r="Q5" s="1214" t="s">
        <v>735</v>
      </c>
      <c r="R5" s="1214" t="s">
        <v>736</v>
      </c>
      <c r="S5" s="522"/>
      <c r="T5" s="1214" t="s">
        <v>737</v>
      </c>
    </row>
    <row r="6" spans="1:30" ht="12.95" hidden="1" customHeight="1" x14ac:dyDescent="0.2">
      <c r="A6" s="1217" t="s">
        <v>738</v>
      </c>
      <c r="B6" s="1217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5"/>
      <c r="P6" s="1215"/>
      <c r="Q6" s="1215"/>
      <c r="R6" s="1215"/>
      <c r="S6" s="523"/>
      <c r="T6" s="1215"/>
    </row>
    <row r="7" spans="1:30" ht="12.95" hidden="1" customHeight="1" x14ac:dyDescent="0.2">
      <c r="A7" s="1217" t="s">
        <v>564</v>
      </c>
      <c r="B7" s="1217"/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5"/>
      <c r="P7" s="1215"/>
      <c r="Q7" s="1215"/>
      <c r="R7" s="1215"/>
      <c r="S7" s="523"/>
      <c r="T7" s="1215"/>
    </row>
    <row r="8" spans="1:30" ht="12.95" hidden="1" customHeight="1" x14ac:dyDescent="0.2">
      <c r="A8" s="1217" t="s">
        <v>739</v>
      </c>
      <c r="B8" s="1217"/>
      <c r="C8" s="1217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5"/>
      <c r="P8" s="1215"/>
      <c r="Q8" s="1215"/>
      <c r="R8" s="1215"/>
      <c r="S8" s="523"/>
      <c r="T8" s="1215"/>
    </row>
    <row r="9" spans="1:30" ht="12.95" hidden="1" customHeight="1" x14ac:dyDescent="0.2">
      <c r="A9" s="1217" t="s">
        <v>740</v>
      </c>
      <c r="B9" s="1217"/>
      <c r="C9" s="1217"/>
      <c r="D9" s="1217"/>
      <c r="E9" s="1217"/>
      <c r="F9" s="1217"/>
      <c r="G9" s="1217"/>
      <c r="H9" s="1217"/>
      <c r="I9" s="1217"/>
      <c r="J9" s="1217"/>
      <c r="K9" s="1217"/>
      <c r="L9" s="1217"/>
      <c r="M9" s="1217"/>
      <c r="N9" s="1217"/>
      <c r="O9" s="1215"/>
      <c r="P9" s="1215"/>
      <c r="Q9" s="1215"/>
      <c r="R9" s="1215"/>
      <c r="S9" s="523"/>
      <c r="T9" s="1215"/>
    </row>
    <row r="10" spans="1:30" ht="63" customHeight="1" x14ac:dyDescent="0.2">
      <c r="A10" s="1218" t="s">
        <v>0</v>
      </c>
      <c r="B10" s="1218"/>
      <c r="C10" s="1217" t="s">
        <v>741</v>
      </c>
      <c r="D10" s="1217"/>
      <c r="E10" s="1217"/>
      <c r="F10" s="524" t="s">
        <v>742</v>
      </c>
      <c r="G10" s="525" t="s">
        <v>743</v>
      </c>
      <c r="H10" s="525" t="s">
        <v>744</v>
      </c>
      <c r="I10" s="524" t="s">
        <v>745</v>
      </c>
      <c r="J10" s="525" t="s">
        <v>746</v>
      </c>
      <c r="K10" s="524" t="s">
        <v>747</v>
      </c>
      <c r="L10" s="524" t="s">
        <v>748</v>
      </c>
      <c r="M10" s="524" t="s">
        <v>749</v>
      </c>
      <c r="N10" s="524" t="s">
        <v>750</v>
      </c>
      <c r="O10" s="1216"/>
      <c r="P10" s="1216"/>
      <c r="Q10" s="1216"/>
      <c r="R10" s="1216"/>
      <c r="S10" s="526"/>
      <c r="T10" s="1216"/>
      <c r="U10" s="526" t="s">
        <v>751</v>
      </c>
      <c r="V10" s="526" t="s">
        <v>752</v>
      </c>
      <c r="W10" s="526" t="s">
        <v>753</v>
      </c>
      <c r="X10" s="526" t="s">
        <v>754</v>
      </c>
      <c r="Y10" s="526" t="s">
        <v>755</v>
      </c>
      <c r="Z10" s="526" t="s">
        <v>756</v>
      </c>
      <c r="AA10" s="526" t="s">
        <v>757</v>
      </c>
      <c r="AB10" s="526" t="s">
        <v>758</v>
      </c>
      <c r="AC10" s="526" t="s">
        <v>759</v>
      </c>
      <c r="AD10" s="526" t="s">
        <v>760</v>
      </c>
    </row>
    <row r="11" spans="1:30" ht="12.95" customHeight="1" x14ac:dyDescent="0.2">
      <c r="A11" s="527" t="s">
        <v>761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9"/>
      <c r="O11" s="530">
        <v>61274785.340000004</v>
      </c>
      <c r="P11" s="531">
        <v>53</v>
      </c>
      <c r="Q11" s="530">
        <v>35419921.130000003</v>
      </c>
      <c r="R11" s="530">
        <v>25854864.210000001</v>
      </c>
      <c r="S11" s="532">
        <f>2.2%/4</f>
        <v>5.5000000000000005E-3</v>
      </c>
      <c r="T11" s="530">
        <f>T13-T12</f>
        <v>0</v>
      </c>
      <c r="U11" s="530">
        <f>U13-U12</f>
        <v>0</v>
      </c>
      <c r="V11" s="530">
        <f t="shared" ref="V11:AD11" si="0">V13-V12</f>
        <v>0</v>
      </c>
      <c r="W11" s="532">
        <f>2.2%/4</f>
        <v>5.5000000000000005E-3</v>
      </c>
      <c r="X11" s="530">
        <f t="shared" si="0"/>
        <v>0</v>
      </c>
      <c r="Y11" s="532">
        <f>2.2%/4</f>
        <v>5.5000000000000005E-3</v>
      </c>
      <c r="Z11" s="530">
        <f t="shared" si="0"/>
        <v>0</v>
      </c>
      <c r="AA11" s="532">
        <f>2.2%/4</f>
        <v>5.5000000000000005E-3</v>
      </c>
      <c r="AB11" s="530">
        <f t="shared" si="0"/>
        <v>0</v>
      </c>
      <c r="AC11" s="532">
        <f>2.2%/4</f>
        <v>5.5000000000000005E-3</v>
      </c>
      <c r="AD11" s="530">
        <f t="shared" si="0"/>
        <v>0</v>
      </c>
    </row>
    <row r="12" spans="1:30" ht="11.1" customHeight="1" outlineLevel="1" x14ac:dyDescent="0.2">
      <c r="A12" s="1212" t="s">
        <v>762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533">
        <v>61274785.340000004</v>
      </c>
      <c r="P12" s="534">
        <v>53</v>
      </c>
      <c r="Q12" s="533">
        <v>35419921.130000003</v>
      </c>
      <c r="R12" s="533">
        <v>25854864.210000001</v>
      </c>
      <c r="S12" s="533"/>
      <c r="T12" s="533">
        <v>70191.33</v>
      </c>
      <c r="U12" s="533">
        <f>T12*3</f>
        <v>210573.99</v>
      </c>
      <c r="V12" s="533">
        <f>R12-U12</f>
        <v>25644290.220000003</v>
      </c>
      <c r="W12" s="533"/>
      <c r="X12" s="533">
        <f>V12-$U$12</f>
        <v>25433716.230000004</v>
      </c>
      <c r="Y12" s="533"/>
      <c r="Z12" s="533">
        <f>X12-$U$12</f>
        <v>25223142.240000006</v>
      </c>
      <c r="AA12" s="533"/>
      <c r="AB12" s="533">
        <f>Z12-$U$12</f>
        <v>25012568.250000007</v>
      </c>
      <c r="AC12" s="533"/>
      <c r="AD12" s="533">
        <f t="shared" ref="AD12" si="1">AB12-$U$12</f>
        <v>24801994.260000009</v>
      </c>
    </row>
    <row r="13" spans="1:30" ht="11.1" customHeight="1" outlineLevel="2" collapsed="1" x14ac:dyDescent="0.2">
      <c r="A13" s="1213" t="s">
        <v>763</v>
      </c>
      <c r="B13" s="1213"/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535">
        <v>61274785.340000004</v>
      </c>
      <c r="P13" s="536">
        <v>53</v>
      </c>
      <c r="Q13" s="535">
        <v>35419921.130000003</v>
      </c>
      <c r="R13" s="535">
        <v>25854864.210000001</v>
      </c>
      <c r="S13" s="535">
        <f>SUM(S14:S98)</f>
        <v>142201.75315499998</v>
      </c>
      <c r="T13" s="535">
        <f>SUM(T14:T98)</f>
        <v>70191.33</v>
      </c>
      <c r="U13" s="535">
        <f>SUBTOTAL(9,U23:U98)</f>
        <v>210573.99</v>
      </c>
      <c r="V13" s="535">
        <f t="shared" ref="V13:AD13" si="2">SUBTOTAL(9,V23:V98)</f>
        <v>25644290.220000003</v>
      </c>
      <c r="W13" s="535">
        <f t="shared" si="2"/>
        <v>141043</v>
      </c>
      <c r="X13" s="535">
        <f t="shared" si="2"/>
        <v>25433716.229999997</v>
      </c>
      <c r="Y13" s="535">
        <f t="shared" si="2"/>
        <v>139887</v>
      </c>
      <c r="Z13" s="535">
        <f t="shared" si="2"/>
        <v>25223142.239999998</v>
      </c>
      <c r="AA13" s="535">
        <f t="shared" si="2"/>
        <v>138726</v>
      </c>
      <c r="AB13" s="535">
        <f t="shared" si="2"/>
        <v>25012568.25</v>
      </c>
      <c r="AC13" s="535">
        <f t="shared" si="2"/>
        <v>137569</v>
      </c>
      <c r="AD13" s="535">
        <f t="shared" si="2"/>
        <v>24801994.259999998</v>
      </c>
    </row>
    <row r="14" spans="1:30" ht="11.1" hidden="1" customHeight="1" outlineLevel="3" x14ac:dyDescent="0.2">
      <c r="A14" s="1210" t="s">
        <v>764</v>
      </c>
      <c r="B14" s="1210"/>
      <c r="C14" s="1210"/>
      <c r="D14" s="1210"/>
      <c r="E14" s="1210"/>
      <c r="F14" s="1210"/>
      <c r="G14" s="1210"/>
      <c r="H14" s="1210"/>
      <c r="I14" s="1210"/>
      <c r="J14" s="1210"/>
      <c r="K14" s="1210"/>
      <c r="L14" s="1210"/>
      <c r="M14" s="1210"/>
      <c r="N14" s="1210"/>
      <c r="O14" s="537">
        <v>564249.63</v>
      </c>
      <c r="P14" s="538">
        <v>5</v>
      </c>
      <c r="Q14" s="537"/>
      <c r="R14" s="539"/>
      <c r="S14" s="539"/>
      <c r="T14" s="539"/>
    </row>
    <row r="15" spans="1:30" ht="11.1" hidden="1" customHeight="1" outlineLevel="4" x14ac:dyDescent="0.2">
      <c r="A15" s="1211" t="s">
        <v>765</v>
      </c>
      <c r="B15" s="1211"/>
      <c r="C15" s="1211"/>
      <c r="D15" s="1211"/>
      <c r="E15" s="1211"/>
      <c r="F15" s="1211"/>
      <c r="G15" s="1211"/>
      <c r="H15" s="1211"/>
      <c r="I15" s="1211"/>
      <c r="J15" s="1211"/>
      <c r="K15" s="1211"/>
      <c r="L15" s="1211"/>
      <c r="M15" s="1211"/>
      <c r="N15" s="1211"/>
      <c r="O15" s="537">
        <v>564249.63</v>
      </c>
      <c r="P15" s="538">
        <v>5</v>
      </c>
      <c r="Q15" s="537"/>
      <c r="R15" s="539"/>
      <c r="S15" s="539"/>
      <c r="T15" s="539"/>
    </row>
    <row r="16" spans="1:30" ht="11.25" hidden="1" outlineLevel="5" x14ac:dyDescent="0.2">
      <c r="A16" s="1207">
        <v>1</v>
      </c>
      <c r="B16" s="1207"/>
      <c r="C16" s="1208" t="s">
        <v>766</v>
      </c>
      <c r="D16" s="1208"/>
      <c r="E16" s="1208"/>
      <c r="F16" s="540" t="s">
        <v>767</v>
      </c>
      <c r="G16" s="541" t="s">
        <v>768</v>
      </c>
      <c r="H16" s="542">
        <v>10</v>
      </c>
      <c r="I16" s="540" t="s">
        <v>769</v>
      </c>
      <c r="J16" s="541" t="s">
        <v>770</v>
      </c>
      <c r="K16" s="540" t="s">
        <v>771</v>
      </c>
      <c r="L16" s="543">
        <v>0.27800000000000002</v>
      </c>
      <c r="M16" s="544">
        <v>360</v>
      </c>
      <c r="N16" s="545">
        <v>100</v>
      </c>
      <c r="O16" s="537">
        <v>469885.33</v>
      </c>
      <c r="P16" s="538">
        <v>1</v>
      </c>
      <c r="Q16" s="537">
        <v>469885.33</v>
      </c>
      <c r="R16" s="537">
        <f>O16-Q16</f>
        <v>0</v>
      </c>
      <c r="S16" s="537"/>
      <c r="T16" s="539"/>
    </row>
    <row r="17" spans="1:30" ht="11.25" hidden="1" outlineLevel="5" x14ac:dyDescent="0.2">
      <c r="A17" s="1207">
        <v>2</v>
      </c>
      <c r="B17" s="1207"/>
      <c r="C17" s="1208" t="s">
        <v>772</v>
      </c>
      <c r="D17" s="1208"/>
      <c r="E17" s="1208"/>
      <c r="F17" s="540" t="s">
        <v>773</v>
      </c>
      <c r="G17" s="541" t="s">
        <v>774</v>
      </c>
      <c r="H17" s="542">
        <v>10</v>
      </c>
      <c r="I17" s="540" t="s">
        <v>769</v>
      </c>
      <c r="J17" s="541" t="s">
        <v>770</v>
      </c>
      <c r="K17" s="540" t="s">
        <v>771</v>
      </c>
      <c r="L17" s="543">
        <v>0.27800000000000002</v>
      </c>
      <c r="M17" s="544">
        <v>360</v>
      </c>
      <c r="N17" s="545">
        <v>100</v>
      </c>
      <c r="O17" s="537">
        <v>10441.379999999999</v>
      </c>
      <c r="P17" s="538">
        <v>1</v>
      </c>
      <c r="Q17" s="537">
        <v>10441.379999999999</v>
      </c>
      <c r="R17" s="537">
        <f t="shared" ref="R17:R20" si="3">O17-Q17</f>
        <v>0</v>
      </c>
      <c r="S17" s="537"/>
      <c r="T17" s="539"/>
    </row>
    <row r="18" spans="1:30" ht="11.25" hidden="1" outlineLevel="5" x14ac:dyDescent="0.2">
      <c r="A18" s="1207">
        <v>3</v>
      </c>
      <c r="B18" s="1207"/>
      <c r="C18" s="1208" t="s">
        <v>775</v>
      </c>
      <c r="D18" s="1208"/>
      <c r="E18" s="1208"/>
      <c r="F18" s="540" t="s">
        <v>776</v>
      </c>
      <c r="G18" s="541" t="s">
        <v>774</v>
      </c>
      <c r="H18" s="542">
        <v>10</v>
      </c>
      <c r="I18" s="540" t="s">
        <v>769</v>
      </c>
      <c r="J18" s="541" t="s">
        <v>770</v>
      </c>
      <c r="K18" s="540" t="s">
        <v>771</v>
      </c>
      <c r="L18" s="543">
        <v>0.27800000000000002</v>
      </c>
      <c r="M18" s="544">
        <v>360</v>
      </c>
      <c r="N18" s="545">
        <v>100</v>
      </c>
      <c r="O18" s="537">
        <v>15759.03</v>
      </c>
      <c r="P18" s="538">
        <v>1</v>
      </c>
      <c r="Q18" s="537">
        <v>15759.03</v>
      </c>
      <c r="R18" s="537">
        <f t="shared" si="3"/>
        <v>0</v>
      </c>
      <c r="S18" s="537"/>
      <c r="T18" s="539"/>
    </row>
    <row r="19" spans="1:30" ht="11.25" hidden="1" outlineLevel="5" x14ac:dyDescent="0.2">
      <c r="A19" s="1207">
        <v>4</v>
      </c>
      <c r="B19" s="1207"/>
      <c r="C19" s="1208" t="s">
        <v>777</v>
      </c>
      <c r="D19" s="1208"/>
      <c r="E19" s="1208"/>
      <c r="F19" s="540" t="s">
        <v>778</v>
      </c>
      <c r="G19" s="541" t="s">
        <v>779</v>
      </c>
      <c r="H19" s="542">
        <v>10</v>
      </c>
      <c r="I19" s="540" t="s">
        <v>769</v>
      </c>
      <c r="J19" s="541" t="s">
        <v>770</v>
      </c>
      <c r="K19" s="540" t="s">
        <v>771</v>
      </c>
      <c r="L19" s="543">
        <v>0.27800000000000002</v>
      </c>
      <c r="M19" s="544">
        <v>360</v>
      </c>
      <c r="N19" s="545">
        <v>100</v>
      </c>
      <c r="O19" s="537">
        <v>51922.080000000002</v>
      </c>
      <c r="P19" s="538">
        <v>1</v>
      </c>
      <c r="Q19" s="537">
        <v>51922.080000000002</v>
      </c>
      <c r="R19" s="537">
        <f t="shared" si="3"/>
        <v>0</v>
      </c>
      <c r="S19" s="537"/>
      <c r="T19" s="539"/>
    </row>
    <row r="20" spans="1:30" ht="11.25" hidden="1" outlineLevel="5" x14ac:dyDescent="0.2">
      <c r="A20" s="1207">
        <v>5</v>
      </c>
      <c r="B20" s="1207"/>
      <c r="C20" s="1208" t="s">
        <v>780</v>
      </c>
      <c r="D20" s="1208"/>
      <c r="E20" s="1208"/>
      <c r="F20" s="540" t="s">
        <v>781</v>
      </c>
      <c r="G20" s="541" t="s">
        <v>768</v>
      </c>
      <c r="H20" s="542">
        <v>9</v>
      </c>
      <c r="I20" s="540" t="s">
        <v>769</v>
      </c>
      <c r="J20" s="541" t="s">
        <v>770</v>
      </c>
      <c r="K20" s="540" t="s">
        <v>771</v>
      </c>
      <c r="L20" s="543">
        <v>0.27800000000000002</v>
      </c>
      <c r="M20" s="544">
        <v>360</v>
      </c>
      <c r="N20" s="545">
        <v>100</v>
      </c>
      <c r="O20" s="537">
        <v>16241.81</v>
      </c>
      <c r="P20" s="538">
        <v>1</v>
      </c>
      <c r="Q20" s="537">
        <v>16241.81</v>
      </c>
      <c r="R20" s="537">
        <f t="shared" si="3"/>
        <v>0</v>
      </c>
      <c r="S20" s="537"/>
      <c r="T20" s="539"/>
    </row>
    <row r="21" spans="1:30" ht="11.1" hidden="1" customHeight="1" outlineLevel="3" x14ac:dyDescent="0.2">
      <c r="A21" s="1210" t="s">
        <v>782</v>
      </c>
      <c r="B21" s="1210"/>
      <c r="C21" s="1210"/>
      <c r="D21" s="1210"/>
      <c r="E21" s="1210"/>
      <c r="F21" s="1210"/>
      <c r="G21" s="1210"/>
      <c r="H21" s="1210"/>
      <c r="I21" s="1210"/>
      <c r="J21" s="1210"/>
      <c r="K21" s="1210"/>
      <c r="L21" s="1210"/>
      <c r="M21" s="1210"/>
      <c r="N21" s="1210"/>
      <c r="O21" s="537">
        <v>1067844.75</v>
      </c>
      <c r="P21" s="538">
        <v>1</v>
      </c>
      <c r="Q21" s="537"/>
      <c r="R21" s="537"/>
      <c r="S21" s="537"/>
      <c r="T21" s="537"/>
    </row>
    <row r="22" spans="1:30" ht="11.1" hidden="1" customHeight="1" outlineLevel="4" x14ac:dyDescent="0.2">
      <c r="A22" s="1211" t="s">
        <v>783</v>
      </c>
      <c r="B22" s="1211"/>
      <c r="C22" s="1211"/>
      <c r="D22" s="1211"/>
      <c r="E22" s="1211"/>
      <c r="F22" s="1211"/>
      <c r="G22" s="1211"/>
      <c r="H22" s="1211"/>
      <c r="I22" s="1211"/>
      <c r="J22" s="1211"/>
      <c r="K22" s="1211"/>
      <c r="L22" s="1211"/>
      <c r="M22" s="1211"/>
      <c r="N22" s="1211"/>
      <c r="O22" s="537">
        <v>1067844.75</v>
      </c>
      <c r="P22" s="538">
        <v>1</v>
      </c>
      <c r="Q22" s="537"/>
      <c r="R22" s="537"/>
      <c r="S22" s="537"/>
      <c r="T22" s="537"/>
    </row>
    <row r="23" spans="1:30" ht="11.1" customHeight="1" outlineLevel="5" x14ac:dyDescent="0.2">
      <c r="A23" s="1207">
        <v>6</v>
      </c>
      <c r="B23" s="1207"/>
      <c r="C23" s="1208" t="s">
        <v>784</v>
      </c>
      <c r="D23" s="1208"/>
      <c r="E23" s="1208"/>
      <c r="F23" s="540" t="s">
        <v>785</v>
      </c>
      <c r="G23" s="541" t="s">
        <v>768</v>
      </c>
      <c r="H23" s="542">
        <v>10</v>
      </c>
      <c r="I23" s="540" t="s">
        <v>769</v>
      </c>
      <c r="J23" s="541" t="s">
        <v>786</v>
      </c>
      <c r="K23" s="540" t="s">
        <v>771</v>
      </c>
      <c r="L23" s="543">
        <v>0.20799999999999999</v>
      </c>
      <c r="M23" s="544">
        <v>480</v>
      </c>
      <c r="N23" s="545">
        <v>73.17</v>
      </c>
      <c r="O23" s="537">
        <v>1067844.75</v>
      </c>
      <c r="P23" s="538">
        <v>1</v>
      </c>
      <c r="Q23" s="537">
        <v>781289.61</v>
      </c>
      <c r="R23" s="537">
        <v>286555.14</v>
      </c>
      <c r="S23" s="537">
        <f>R23*$S$11</f>
        <v>1576.0532700000003</v>
      </c>
      <c r="T23" s="537">
        <v>2224.6799999999998</v>
      </c>
      <c r="U23" s="537">
        <f>T23*3</f>
        <v>6674.0399999999991</v>
      </c>
      <c r="V23" s="546">
        <f>R23-U23</f>
        <v>279881.10000000003</v>
      </c>
      <c r="W23" s="546">
        <f>ROUND(V23*$W$11,0)</f>
        <v>1539</v>
      </c>
      <c r="X23" s="546">
        <f>V23-$U23</f>
        <v>273207.06000000006</v>
      </c>
      <c r="Y23" s="546">
        <f>ROUND(X23*$Y$11,0)</f>
        <v>1503</v>
      </c>
      <c r="Z23" s="546">
        <f>X23-$U23</f>
        <v>266533.02000000008</v>
      </c>
      <c r="AA23" s="546">
        <f>ROUND(Z23*$AA$11,0)</f>
        <v>1466</v>
      </c>
      <c r="AB23" s="546">
        <f>Z23-$U23</f>
        <v>259858.98000000007</v>
      </c>
      <c r="AC23" s="546">
        <f>ROUND(AB23*$AC$11,0)</f>
        <v>1429</v>
      </c>
      <c r="AD23" s="546">
        <f t="shared" ref="AD23" si="4">AB23-$U23</f>
        <v>253184.94000000006</v>
      </c>
    </row>
    <row r="24" spans="1:30" ht="11.1" hidden="1" customHeight="1" outlineLevel="3" x14ac:dyDescent="0.2">
      <c r="A24" s="1210" t="s">
        <v>787</v>
      </c>
      <c r="B24" s="1210"/>
      <c r="C24" s="1210"/>
      <c r="D24" s="1210"/>
      <c r="E24" s="1210"/>
      <c r="F24" s="1210"/>
      <c r="G24" s="1210"/>
      <c r="H24" s="1210"/>
      <c r="I24" s="1210"/>
      <c r="J24" s="1210"/>
      <c r="K24" s="1210"/>
      <c r="L24" s="1210"/>
      <c r="M24" s="1210"/>
      <c r="N24" s="1210"/>
      <c r="O24" s="537">
        <v>4020535</v>
      </c>
      <c r="P24" s="538">
        <v>2</v>
      </c>
      <c r="Q24" s="537"/>
      <c r="R24" s="539"/>
      <c r="S24" s="539"/>
      <c r="T24" s="539"/>
    </row>
    <row r="25" spans="1:30" ht="11.1" hidden="1" customHeight="1" outlineLevel="4" x14ac:dyDescent="0.2">
      <c r="A25" s="1211" t="s">
        <v>788</v>
      </c>
      <c r="B25" s="1211"/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  <c r="M25" s="1211"/>
      <c r="N25" s="1211"/>
      <c r="O25" s="537">
        <v>4020535</v>
      </c>
      <c r="P25" s="538">
        <v>2</v>
      </c>
      <c r="Q25" s="537"/>
      <c r="R25" s="539"/>
      <c r="S25" s="539"/>
      <c r="T25" s="539"/>
    </row>
    <row r="26" spans="1:30" ht="11.25" hidden="1" outlineLevel="5" x14ac:dyDescent="0.2">
      <c r="A26" s="1207">
        <v>7</v>
      </c>
      <c r="B26" s="1207"/>
      <c r="C26" s="1208" t="s">
        <v>789</v>
      </c>
      <c r="D26" s="1208"/>
      <c r="E26" s="1208"/>
      <c r="F26" s="540" t="s">
        <v>790</v>
      </c>
      <c r="G26" s="541" t="s">
        <v>791</v>
      </c>
      <c r="H26" s="542">
        <v>5</v>
      </c>
      <c r="I26" s="540" t="s">
        <v>769</v>
      </c>
      <c r="J26" s="541" t="s">
        <v>792</v>
      </c>
      <c r="K26" s="540" t="s">
        <v>771</v>
      </c>
      <c r="L26" s="543">
        <v>0.83299999999999996</v>
      </c>
      <c r="M26" s="544">
        <v>120</v>
      </c>
      <c r="N26" s="545">
        <v>100</v>
      </c>
      <c r="O26" s="537">
        <v>1038493</v>
      </c>
      <c r="P26" s="538">
        <v>1</v>
      </c>
      <c r="Q26" s="537">
        <v>1038493</v>
      </c>
      <c r="R26" s="537">
        <f t="shared" ref="R26:R27" si="5">O26-Q26</f>
        <v>0</v>
      </c>
      <c r="S26" s="537"/>
      <c r="T26" s="539"/>
    </row>
    <row r="27" spans="1:30" ht="11.25" hidden="1" outlineLevel="5" x14ac:dyDescent="0.2">
      <c r="A27" s="1207">
        <v>8</v>
      </c>
      <c r="B27" s="1207"/>
      <c r="C27" s="1208" t="s">
        <v>793</v>
      </c>
      <c r="D27" s="1208"/>
      <c r="E27" s="1208"/>
      <c r="F27" s="540" t="s">
        <v>794</v>
      </c>
      <c r="G27" s="541" t="s">
        <v>795</v>
      </c>
      <c r="H27" s="542">
        <v>5</v>
      </c>
      <c r="I27" s="540" t="s">
        <v>769</v>
      </c>
      <c r="J27" s="541" t="s">
        <v>792</v>
      </c>
      <c r="K27" s="540" t="s">
        <v>771</v>
      </c>
      <c r="L27" s="543">
        <v>0.83299999999999996</v>
      </c>
      <c r="M27" s="544">
        <v>120</v>
      </c>
      <c r="N27" s="545">
        <v>100</v>
      </c>
      <c r="O27" s="537">
        <v>2982042</v>
      </c>
      <c r="P27" s="538">
        <v>1</v>
      </c>
      <c r="Q27" s="537">
        <v>2982042</v>
      </c>
      <c r="R27" s="537">
        <f t="shared" si="5"/>
        <v>0</v>
      </c>
      <c r="S27" s="537"/>
      <c r="T27" s="539"/>
    </row>
    <row r="28" spans="1:30" ht="11.1" hidden="1" customHeight="1" outlineLevel="3" x14ac:dyDescent="0.2">
      <c r="A28" s="1210" t="s">
        <v>796</v>
      </c>
      <c r="B28" s="1210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537">
        <v>320334</v>
      </c>
      <c r="P28" s="538">
        <v>4</v>
      </c>
      <c r="Q28" s="537"/>
      <c r="R28" s="539"/>
      <c r="S28" s="539"/>
      <c r="T28" s="539"/>
    </row>
    <row r="29" spans="1:30" ht="11.1" hidden="1" customHeight="1" outlineLevel="4" x14ac:dyDescent="0.2">
      <c r="A29" s="1211" t="s">
        <v>797</v>
      </c>
      <c r="B29" s="1211"/>
      <c r="C29" s="1211"/>
      <c r="D29" s="1211"/>
      <c r="E29" s="1211"/>
      <c r="F29" s="1211"/>
      <c r="G29" s="1211"/>
      <c r="H29" s="1211"/>
      <c r="I29" s="1211"/>
      <c r="J29" s="1211"/>
      <c r="K29" s="1211"/>
      <c r="L29" s="1211"/>
      <c r="M29" s="1211"/>
      <c r="N29" s="1211"/>
      <c r="O29" s="537">
        <v>320334</v>
      </c>
      <c r="P29" s="538">
        <v>4</v>
      </c>
      <c r="Q29" s="537"/>
      <c r="R29" s="539"/>
      <c r="S29" s="539"/>
      <c r="T29" s="539"/>
    </row>
    <row r="30" spans="1:30" ht="11.1" hidden="1" customHeight="1" outlineLevel="5" x14ac:dyDescent="0.2">
      <c r="A30" s="1207">
        <v>9</v>
      </c>
      <c r="B30" s="1207"/>
      <c r="C30" s="1208" t="s">
        <v>798</v>
      </c>
      <c r="D30" s="1208"/>
      <c r="E30" s="1208"/>
      <c r="F30" s="540" t="s">
        <v>799</v>
      </c>
      <c r="G30" s="542">
        <v>110001130</v>
      </c>
      <c r="H30" s="542">
        <v>6</v>
      </c>
      <c r="I30" s="540" t="s">
        <v>769</v>
      </c>
      <c r="J30" s="541" t="s">
        <v>800</v>
      </c>
      <c r="K30" s="540" t="s">
        <v>771</v>
      </c>
      <c r="L30" s="543">
        <v>0.55600000000000005</v>
      </c>
      <c r="M30" s="544">
        <v>180</v>
      </c>
      <c r="N30" s="545">
        <v>100</v>
      </c>
      <c r="O30" s="537">
        <v>32905</v>
      </c>
      <c r="P30" s="538">
        <v>1</v>
      </c>
      <c r="Q30" s="537">
        <v>32905</v>
      </c>
      <c r="R30" s="537">
        <f t="shared" ref="R30:R33" si="6">O30-Q30</f>
        <v>0</v>
      </c>
      <c r="S30" s="537"/>
      <c r="T30" s="539"/>
    </row>
    <row r="31" spans="1:30" ht="11.1" hidden="1" customHeight="1" outlineLevel="5" x14ac:dyDescent="0.2">
      <c r="A31" s="1207">
        <v>10</v>
      </c>
      <c r="B31" s="1207"/>
      <c r="C31" s="1208" t="s">
        <v>801</v>
      </c>
      <c r="D31" s="1208"/>
      <c r="E31" s="1208"/>
      <c r="F31" s="540" t="s">
        <v>802</v>
      </c>
      <c r="G31" s="542">
        <v>114528171</v>
      </c>
      <c r="H31" s="542">
        <v>7</v>
      </c>
      <c r="I31" s="540" t="s">
        <v>769</v>
      </c>
      <c r="J31" s="541" t="s">
        <v>803</v>
      </c>
      <c r="K31" s="540" t="s">
        <v>771</v>
      </c>
      <c r="L31" s="543">
        <v>0.41699999999999998</v>
      </c>
      <c r="M31" s="544">
        <v>240</v>
      </c>
      <c r="N31" s="545">
        <v>100</v>
      </c>
      <c r="O31" s="537">
        <v>71806</v>
      </c>
      <c r="P31" s="538">
        <v>1</v>
      </c>
      <c r="Q31" s="537">
        <v>71806</v>
      </c>
      <c r="R31" s="537">
        <f t="shared" si="6"/>
        <v>0</v>
      </c>
      <c r="S31" s="537"/>
      <c r="T31" s="539"/>
    </row>
    <row r="32" spans="1:30" ht="11.1" hidden="1" customHeight="1" outlineLevel="5" x14ac:dyDescent="0.2">
      <c r="A32" s="1207">
        <v>11</v>
      </c>
      <c r="B32" s="1207"/>
      <c r="C32" s="1208" t="s">
        <v>804</v>
      </c>
      <c r="D32" s="1208"/>
      <c r="E32" s="1208"/>
      <c r="F32" s="540" t="s">
        <v>805</v>
      </c>
      <c r="G32" s="542">
        <v>114528171</v>
      </c>
      <c r="H32" s="542">
        <v>7</v>
      </c>
      <c r="I32" s="540" t="s">
        <v>769</v>
      </c>
      <c r="J32" s="541" t="s">
        <v>806</v>
      </c>
      <c r="K32" s="540" t="s">
        <v>771</v>
      </c>
      <c r="L32" s="543">
        <v>0.41699999999999998</v>
      </c>
      <c r="M32" s="544">
        <v>240</v>
      </c>
      <c r="N32" s="545">
        <v>100</v>
      </c>
      <c r="O32" s="537">
        <v>209719</v>
      </c>
      <c r="P32" s="538">
        <v>1</v>
      </c>
      <c r="Q32" s="537">
        <v>209719</v>
      </c>
      <c r="R32" s="537">
        <f t="shared" si="6"/>
        <v>0</v>
      </c>
      <c r="S32" s="537"/>
      <c r="T32" s="539"/>
    </row>
    <row r="33" spans="1:30" ht="11.1" hidden="1" customHeight="1" outlineLevel="5" x14ac:dyDescent="0.2">
      <c r="A33" s="1207">
        <v>12</v>
      </c>
      <c r="B33" s="1207"/>
      <c r="C33" s="1208" t="s">
        <v>807</v>
      </c>
      <c r="D33" s="1208"/>
      <c r="E33" s="1208"/>
      <c r="F33" s="540" t="s">
        <v>808</v>
      </c>
      <c r="G33" s="542">
        <v>110001110</v>
      </c>
      <c r="H33" s="542">
        <v>6</v>
      </c>
      <c r="I33" s="540" t="s">
        <v>809</v>
      </c>
      <c r="J33" s="541" t="s">
        <v>810</v>
      </c>
      <c r="K33" s="540" t="s">
        <v>771</v>
      </c>
      <c r="L33" s="543">
        <v>0.55600000000000005</v>
      </c>
      <c r="M33" s="544">
        <v>180</v>
      </c>
      <c r="N33" s="545">
        <v>100</v>
      </c>
      <c r="O33" s="537">
        <v>5904</v>
      </c>
      <c r="P33" s="538">
        <v>1</v>
      </c>
      <c r="Q33" s="537">
        <v>5904</v>
      </c>
      <c r="R33" s="537">
        <f t="shared" si="6"/>
        <v>0</v>
      </c>
      <c r="S33" s="537"/>
      <c r="T33" s="539"/>
    </row>
    <row r="34" spans="1:30" ht="11.1" hidden="1" customHeight="1" outlineLevel="3" x14ac:dyDescent="0.2">
      <c r="A34" s="1210" t="s">
        <v>811</v>
      </c>
      <c r="B34" s="1210"/>
      <c r="C34" s="1210"/>
      <c r="D34" s="1210"/>
      <c r="E34" s="1210"/>
      <c r="F34" s="1210"/>
      <c r="G34" s="1210"/>
      <c r="H34" s="1210"/>
      <c r="I34" s="1210"/>
      <c r="J34" s="1210"/>
      <c r="K34" s="1210"/>
      <c r="L34" s="1210"/>
      <c r="M34" s="1210"/>
      <c r="N34" s="1210"/>
      <c r="O34" s="537">
        <v>451858.89</v>
      </c>
      <c r="P34" s="538">
        <v>1</v>
      </c>
      <c r="Q34" s="537"/>
      <c r="R34" s="539"/>
      <c r="S34" s="539"/>
      <c r="T34" s="539"/>
    </row>
    <row r="35" spans="1:30" ht="11.1" hidden="1" customHeight="1" outlineLevel="4" x14ac:dyDescent="0.2">
      <c r="A35" s="1211" t="s">
        <v>812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537">
        <v>451858.89</v>
      </c>
      <c r="P35" s="538">
        <v>1</v>
      </c>
      <c r="Q35" s="537"/>
      <c r="R35" s="539"/>
      <c r="S35" s="539"/>
      <c r="T35" s="539"/>
    </row>
    <row r="36" spans="1:30" ht="11.25" hidden="1" outlineLevel="5" x14ac:dyDescent="0.2">
      <c r="A36" s="1207">
        <v>13</v>
      </c>
      <c r="B36" s="1207"/>
      <c r="C36" s="1208" t="s">
        <v>813</v>
      </c>
      <c r="D36" s="1208"/>
      <c r="E36" s="1208"/>
      <c r="F36" s="540" t="s">
        <v>814</v>
      </c>
      <c r="G36" s="541" t="s">
        <v>815</v>
      </c>
      <c r="H36" s="542">
        <v>10</v>
      </c>
      <c r="I36" s="540" t="s">
        <v>769</v>
      </c>
      <c r="J36" s="541" t="s">
        <v>816</v>
      </c>
      <c r="K36" s="540" t="s">
        <v>771</v>
      </c>
      <c r="L36" s="543">
        <v>0.33300000000000002</v>
      </c>
      <c r="M36" s="544">
        <v>300</v>
      </c>
      <c r="N36" s="545">
        <v>100</v>
      </c>
      <c r="O36" s="537">
        <v>451858.89</v>
      </c>
      <c r="P36" s="538">
        <v>1</v>
      </c>
      <c r="Q36" s="537">
        <v>451858.89</v>
      </c>
      <c r="R36" s="537">
        <f t="shared" ref="R36" si="7">O36-Q36</f>
        <v>0</v>
      </c>
      <c r="S36" s="537"/>
      <c r="T36" s="539"/>
    </row>
    <row r="37" spans="1:30" ht="11.1" hidden="1" customHeight="1" outlineLevel="3" x14ac:dyDescent="0.2">
      <c r="A37" s="1210" t="s">
        <v>817</v>
      </c>
      <c r="B37" s="1210"/>
      <c r="C37" s="1210"/>
      <c r="D37" s="1210"/>
      <c r="E37" s="1210"/>
      <c r="F37" s="1210"/>
      <c r="G37" s="1210"/>
      <c r="H37" s="1210"/>
      <c r="I37" s="1210"/>
      <c r="J37" s="1210"/>
      <c r="K37" s="1210"/>
      <c r="L37" s="1210"/>
      <c r="M37" s="1210"/>
      <c r="N37" s="1210"/>
      <c r="O37" s="537">
        <v>4060.95</v>
      </c>
      <c r="P37" s="538">
        <v>1</v>
      </c>
      <c r="Q37" s="537"/>
      <c r="R37" s="539"/>
      <c r="S37" s="539"/>
      <c r="T37" s="539"/>
    </row>
    <row r="38" spans="1:30" ht="11.1" hidden="1" customHeight="1" outlineLevel="4" x14ac:dyDescent="0.2">
      <c r="A38" s="1211" t="s">
        <v>139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537">
        <v>4060.95</v>
      </c>
      <c r="P38" s="538">
        <v>1</v>
      </c>
      <c r="Q38" s="537"/>
      <c r="R38" s="539"/>
      <c r="S38" s="539"/>
      <c r="T38" s="539"/>
    </row>
    <row r="39" spans="1:30" ht="11.1" hidden="1" customHeight="1" outlineLevel="5" x14ac:dyDescent="0.2">
      <c r="A39" s="1207">
        <v>14</v>
      </c>
      <c r="B39" s="1207"/>
      <c r="C39" s="1208" t="s">
        <v>818</v>
      </c>
      <c r="D39" s="1208"/>
      <c r="E39" s="1208"/>
      <c r="F39" s="540" t="s">
        <v>819</v>
      </c>
      <c r="G39" s="541" t="s">
        <v>768</v>
      </c>
      <c r="H39" s="542">
        <v>9</v>
      </c>
      <c r="I39" s="540" t="s">
        <v>809</v>
      </c>
      <c r="J39" s="541" t="s">
        <v>820</v>
      </c>
      <c r="K39" s="540" t="s">
        <v>771</v>
      </c>
      <c r="L39" s="543">
        <v>0.27800000000000002</v>
      </c>
      <c r="M39" s="544">
        <v>360</v>
      </c>
      <c r="N39" s="545">
        <v>100</v>
      </c>
      <c r="O39" s="537">
        <v>4060.95</v>
      </c>
      <c r="P39" s="538">
        <v>1</v>
      </c>
      <c r="Q39" s="537">
        <v>4060.95</v>
      </c>
      <c r="R39" s="537">
        <f t="shared" ref="R39" si="8">O39-Q39</f>
        <v>0</v>
      </c>
      <c r="S39" s="537"/>
      <c r="T39" s="539"/>
    </row>
    <row r="40" spans="1:30" ht="11.1" hidden="1" customHeight="1" outlineLevel="3" x14ac:dyDescent="0.2">
      <c r="A40" s="1210" t="s">
        <v>821</v>
      </c>
      <c r="B40" s="1210"/>
      <c r="C40" s="1210"/>
      <c r="D40" s="1210"/>
      <c r="E40" s="1210"/>
      <c r="F40" s="1210"/>
      <c r="G40" s="1210"/>
      <c r="H40" s="1210"/>
      <c r="I40" s="1210"/>
      <c r="J40" s="1210"/>
      <c r="K40" s="1210"/>
      <c r="L40" s="1210"/>
      <c r="M40" s="1210"/>
      <c r="N40" s="1210"/>
      <c r="O40" s="537">
        <v>720419</v>
      </c>
      <c r="P40" s="538">
        <v>2</v>
      </c>
      <c r="Q40" s="537"/>
      <c r="R40" s="537"/>
      <c r="S40" s="537"/>
      <c r="T40" s="537"/>
    </row>
    <row r="41" spans="1:30" ht="11.1" hidden="1" customHeight="1" outlineLevel="4" x14ac:dyDescent="0.2">
      <c r="A41" s="1211" t="s">
        <v>822</v>
      </c>
      <c r="B41" s="1211"/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537">
        <v>720419</v>
      </c>
      <c r="P41" s="538">
        <v>2</v>
      </c>
      <c r="Q41" s="537"/>
      <c r="R41" s="537"/>
      <c r="S41" s="537"/>
      <c r="T41" s="537"/>
    </row>
    <row r="42" spans="1:30" ht="11.25" hidden="1" outlineLevel="5" x14ac:dyDescent="0.2">
      <c r="A42" s="1207">
        <v>15</v>
      </c>
      <c r="B42" s="1207"/>
      <c r="C42" s="1208" t="s">
        <v>823</v>
      </c>
      <c r="D42" s="1208"/>
      <c r="E42" s="1208"/>
      <c r="F42" s="540" t="s">
        <v>824</v>
      </c>
      <c r="G42" s="541" t="s">
        <v>825</v>
      </c>
      <c r="H42" s="542">
        <v>10</v>
      </c>
      <c r="I42" s="540" t="s">
        <v>769</v>
      </c>
      <c r="J42" s="541" t="s">
        <v>826</v>
      </c>
      <c r="K42" s="540" t="s">
        <v>771</v>
      </c>
      <c r="L42" s="543">
        <v>0.111</v>
      </c>
      <c r="M42" s="544">
        <v>900</v>
      </c>
      <c r="N42" s="545">
        <v>100</v>
      </c>
      <c r="O42" s="537">
        <v>650074</v>
      </c>
      <c r="P42" s="538">
        <v>1</v>
      </c>
      <c r="Q42" s="537">
        <v>650074</v>
      </c>
      <c r="R42" s="537">
        <f t="shared" ref="R42" si="9">O42-Q42</f>
        <v>0</v>
      </c>
      <c r="S42" s="537"/>
      <c r="T42" s="539"/>
    </row>
    <row r="43" spans="1:30" ht="11.25" outlineLevel="5" x14ac:dyDescent="0.2">
      <c r="A43" s="1207">
        <v>16</v>
      </c>
      <c r="B43" s="1207"/>
      <c r="C43" s="1208" t="s">
        <v>827</v>
      </c>
      <c r="D43" s="1208"/>
      <c r="E43" s="1208"/>
      <c r="F43" s="540" t="s">
        <v>828</v>
      </c>
      <c r="G43" s="541" t="s">
        <v>779</v>
      </c>
      <c r="H43" s="542">
        <v>10</v>
      </c>
      <c r="I43" s="540" t="s">
        <v>769</v>
      </c>
      <c r="J43" s="541" t="s">
        <v>826</v>
      </c>
      <c r="K43" s="540" t="s">
        <v>771</v>
      </c>
      <c r="L43" s="543">
        <v>0.20799999999999999</v>
      </c>
      <c r="M43" s="544">
        <v>480</v>
      </c>
      <c r="N43" s="545">
        <v>63.95</v>
      </c>
      <c r="O43" s="537">
        <v>70345</v>
      </c>
      <c r="P43" s="538">
        <v>1</v>
      </c>
      <c r="Q43" s="537">
        <v>44986.07</v>
      </c>
      <c r="R43" s="537">
        <v>25358.93</v>
      </c>
      <c r="S43" s="537">
        <f>R43*$S$11</f>
        <v>139.47411500000001</v>
      </c>
      <c r="T43" s="537">
        <v>146.55000000000001</v>
      </c>
      <c r="U43" s="537">
        <f>T43*3</f>
        <v>439.65000000000003</v>
      </c>
      <c r="V43" s="546">
        <f>R43-U43</f>
        <v>24919.279999999999</v>
      </c>
      <c r="W43" s="546">
        <f>ROUND(V43*$W$11,0)</f>
        <v>137</v>
      </c>
      <c r="X43" s="546">
        <f>V43-$U43</f>
        <v>24479.629999999997</v>
      </c>
      <c r="Y43" s="546">
        <f>ROUND(X43*$Y$11,0)</f>
        <v>135</v>
      </c>
      <c r="Z43" s="546">
        <f>X43-$U43</f>
        <v>24039.979999999996</v>
      </c>
      <c r="AA43" s="546">
        <f>ROUND(Z43*$AA$11,0)</f>
        <v>132</v>
      </c>
      <c r="AB43" s="546">
        <f>Z43-$U43</f>
        <v>23600.329999999994</v>
      </c>
      <c r="AC43" s="546">
        <f>ROUND(AB43*$AC$11,0)</f>
        <v>130</v>
      </c>
      <c r="AD43" s="546">
        <f t="shared" ref="AD43" si="10">AB43-$U43</f>
        <v>23160.679999999993</v>
      </c>
    </row>
    <row r="44" spans="1:30" ht="11.1" hidden="1" customHeight="1" outlineLevel="3" x14ac:dyDescent="0.2">
      <c r="A44" s="1210" t="s">
        <v>829</v>
      </c>
      <c r="B44" s="1210"/>
      <c r="C44" s="1210"/>
      <c r="D44" s="1210"/>
      <c r="E44" s="1210"/>
      <c r="F44" s="1210"/>
      <c r="G44" s="1210"/>
      <c r="H44" s="1210"/>
      <c r="I44" s="1210"/>
      <c r="J44" s="1210"/>
      <c r="K44" s="1210"/>
      <c r="L44" s="1210"/>
      <c r="M44" s="1210"/>
      <c r="N44" s="1210"/>
      <c r="O44" s="537">
        <v>957265</v>
      </c>
      <c r="P44" s="538">
        <v>3</v>
      </c>
      <c r="Q44" s="537"/>
      <c r="R44" s="539"/>
      <c r="S44" s="539"/>
      <c r="T44" s="539"/>
    </row>
    <row r="45" spans="1:30" ht="11.1" hidden="1" customHeight="1" outlineLevel="4" x14ac:dyDescent="0.2">
      <c r="A45" s="1211" t="s">
        <v>830</v>
      </c>
      <c r="B45" s="1211"/>
      <c r="C45" s="1211"/>
      <c r="D45" s="1211"/>
      <c r="E45" s="1211"/>
      <c r="F45" s="1211"/>
      <c r="G45" s="1211"/>
      <c r="H45" s="1211"/>
      <c r="I45" s="1211"/>
      <c r="J45" s="1211"/>
      <c r="K45" s="1211"/>
      <c r="L45" s="1211"/>
      <c r="M45" s="1211"/>
      <c r="N45" s="1211"/>
      <c r="O45" s="537">
        <v>957265</v>
      </c>
      <c r="P45" s="538">
        <v>3</v>
      </c>
      <c r="Q45" s="537"/>
      <c r="R45" s="539"/>
      <c r="S45" s="539"/>
      <c r="T45" s="539"/>
    </row>
    <row r="46" spans="1:30" ht="11.25" hidden="1" outlineLevel="5" x14ac:dyDescent="0.2">
      <c r="A46" s="1207">
        <v>17</v>
      </c>
      <c r="B46" s="1207"/>
      <c r="C46" s="1208" t="s">
        <v>831</v>
      </c>
      <c r="D46" s="1208"/>
      <c r="E46" s="1208"/>
      <c r="F46" s="540" t="s">
        <v>832</v>
      </c>
      <c r="G46" s="541" t="s">
        <v>768</v>
      </c>
      <c r="H46" s="542">
        <v>7</v>
      </c>
      <c r="I46" s="540" t="s">
        <v>769</v>
      </c>
      <c r="J46" s="541" t="s">
        <v>833</v>
      </c>
      <c r="K46" s="540" t="s">
        <v>771</v>
      </c>
      <c r="L46" s="543">
        <v>0.41699999999999998</v>
      </c>
      <c r="M46" s="544">
        <v>240</v>
      </c>
      <c r="N46" s="545">
        <v>100</v>
      </c>
      <c r="O46" s="537">
        <v>329742</v>
      </c>
      <c r="P46" s="538">
        <v>1</v>
      </c>
      <c r="Q46" s="537">
        <v>329742</v>
      </c>
      <c r="R46" s="537">
        <f t="shared" ref="R46:R48" si="11">O46-Q46</f>
        <v>0</v>
      </c>
      <c r="S46" s="537"/>
      <c r="T46" s="539"/>
    </row>
    <row r="47" spans="1:30" ht="11.25" hidden="1" outlineLevel="5" x14ac:dyDescent="0.2">
      <c r="A47" s="1207">
        <v>18</v>
      </c>
      <c r="B47" s="1207"/>
      <c r="C47" s="1208" t="s">
        <v>834</v>
      </c>
      <c r="D47" s="1208"/>
      <c r="E47" s="1208"/>
      <c r="F47" s="540" t="s">
        <v>835</v>
      </c>
      <c r="G47" s="541" t="s">
        <v>768</v>
      </c>
      <c r="H47" s="542">
        <v>7</v>
      </c>
      <c r="I47" s="540" t="s">
        <v>769</v>
      </c>
      <c r="J47" s="541" t="s">
        <v>833</v>
      </c>
      <c r="K47" s="540" t="s">
        <v>771</v>
      </c>
      <c r="L47" s="543">
        <v>0.41699999999999998</v>
      </c>
      <c r="M47" s="544">
        <v>240</v>
      </c>
      <c r="N47" s="545">
        <v>100</v>
      </c>
      <c r="O47" s="537">
        <v>578862</v>
      </c>
      <c r="P47" s="538">
        <v>1</v>
      </c>
      <c r="Q47" s="537">
        <v>578862</v>
      </c>
      <c r="R47" s="537">
        <f t="shared" si="11"/>
        <v>0</v>
      </c>
      <c r="S47" s="537"/>
      <c r="T47" s="539"/>
    </row>
    <row r="48" spans="1:30" ht="11.25" hidden="1" outlineLevel="5" x14ac:dyDescent="0.2">
      <c r="A48" s="1207">
        <v>19</v>
      </c>
      <c r="B48" s="1207"/>
      <c r="C48" s="1208" t="s">
        <v>836</v>
      </c>
      <c r="D48" s="1208"/>
      <c r="E48" s="1208"/>
      <c r="F48" s="540" t="s">
        <v>837</v>
      </c>
      <c r="G48" s="541" t="s">
        <v>774</v>
      </c>
      <c r="H48" s="542">
        <v>7</v>
      </c>
      <c r="I48" s="540" t="s">
        <v>769</v>
      </c>
      <c r="J48" s="541" t="s">
        <v>838</v>
      </c>
      <c r="K48" s="540" t="s">
        <v>771</v>
      </c>
      <c r="L48" s="543">
        <v>0.41699999999999998</v>
      </c>
      <c r="M48" s="544">
        <v>240</v>
      </c>
      <c r="N48" s="545">
        <v>100</v>
      </c>
      <c r="O48" s="537">
        <v>48661</v>
      </c>
      <c r="P48" s="538">
        <v>1</v>
      </c>
      <c r="Q48" s="537">
        <v>48661</v>
      </c>
      <c r="R48" s="537">
        <f t="shared" si="11"/>
        <v>0</v>
      </c>
      <c r="S48" s="537"/>
      <c r="T48" s="539"/>
    </row>
    <row r="49" spans="1:30" ht="11.1" hidden="1" customHeight="1" outlineLevel="3" x14ac:dyDescent="0.2">
      <c r="A49" s="1210" t="s">
        <v>839</v>
      </c>
      <c r="B49" s="1210"/>
      <c r="C49" s="1210"/>
      <c r="D49" s="1210"/>
      <c r="E49" s="1210"/>
      <c r="F49" s="1210"/>
      <c r="G49" s="1210"/>
      <c r="H49" s="1210"/>
      <c r="I49" s="1210"/>
      <c r="J49" s="1210"/>
      <c r="K49" s="1210"/>
      <c r="L49" s="1210"/>
      <c r="M49" s="1210"/>
      <c r="N49" s="1210"/>
      <c r="O49" s="537">
        <v>4223701.63</v>
      </c>
      <c r="P49" s="538">
        <v>2</v>
      </c>
      <c r="Q49" s="537"/>
      <c r="R49" s="537"/>
      <c r="S49" s="537"/>
      <c r="T49" s="537"/>
    </row>
    <row r="50" spans="1:30" ht="11.1" hidden="1" customHeight="1" outlineLevel="4" x14ac:dyDescent="0.2">
      <c r="A50" s="1211" t="s">
        <v>840</v>
      </c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537">
        <v>4223701.63</v>
      </c>
      <c r="P50" s="538">
        <v>2</v>
      </c>
      <c r="Q50" s="537"/>
      <c r="R50" s="537"/>
      <c r="S50" s="537"/>
      <c r="T50" s="537"/>
    </row>
    <row r="51" spans="1:30" ht="11.25" outlineLevel="5" x14ac:dyDescent="0.2">
      <c r="A51" s="1207">
        <v>20</v>
      </c>
      <c r="B51" s="1207"/>
      <c r="C51" s="1208" t="s">
        <v>841</v>
      </c>
      <c r="D51" s="1208"/>
      <c r="E51" s="1208"/>
      <c r="F51" s="540" t="s">
        <v>842</v>
      </c>
      <c r="G51" s="541" t="s">
        <v>768</v>
      </c>
      <c r="H51" s="542">
        <v>10</v>
      </c>
      <c r="I51" s="540" t="s">
        <v>769</v>
      </c>
      <c r="J51" s="541" t="s">
        <v>770</v>
      </c>
      <c r="K51" s="540" t="s">
        <v>771</v>
      </c>
      <c r="L51" s="543">
        <v>0.27800000000000002</v>
      </c>
      <c r="M51" s="544">
        <v>360</v>
      </c>
      <c r="N51" s="545">
        <v>68.86</v>
      </c>
      <c r="O51" s="537">
        <v>2817498.83</v>
      </c>
      <c r="P51" s="538">
        <v>1</v>
      </c>
      <c r="Q51" s="537">
        <v>1940244.62</v>
      </c>
      <c r="R51" s="537">
        <v>877254.21</v>
      </c>
      <c r="S51" s="537">
        <f t="shared" ref="S51:S52" si="12">R51*$S$11</f>
        <v>4824.8981549999999</v>
      </c>
      <c r="T51" s="537">
        <v>7826.39</v>
      </c>
      <c r="U51" s="537">
        <f t="shared" ref="U51:U52" si="13">T51*3</f>
        <v>23479.170000000002</v>
      </c>
      <c r="V51" s="546">
        <f t="shared" ref="V51:V52" si="14">R51-U51</f>
        <v>853775.03999999992</v>
      </c>
      <c r="W51" s="546">
        <f t="shared" ref="W51:W52" si="15">ROUND(V51*$W$11,0)</f>
        <v>4696</v>
      </c>
      <c r="X51" s="546">
        <f>V51-$U51</f>
        <v>830295.86999999988</v>
      </c>
      <c r="Y51" s="546">
        <f t="shared" ref="Y51:Y52" si="16">ROUND(X51*$Y$11,0)</f>
        <v>4567</v>
      </c>
      <c r="Z51" s="546">
        <f t="shared" ref="Z51:Z52" si="17">X51-$U51</f>
        <v>806816.69999999984</v>
      </c>
      <c r="AA51" s="546">
        <f t="shared" ref="AA51:AA52" si="18">ROUND(Z51*$AA$11,0)</f>
        <v>4437</v>
      </c>
      <c r="AB51" s="546">
        <f>Z51-$U51</f>
        <v>783337.5299999998</v>
      </c>
      <c r="AC51" s="546">
        <f t="shared" ref="AC51:AC52" si="19">ROUND(AB51*$AC$11,0)</f>
        <v>4308</v>
      </c>
      <c r="AD51" s="546">
        <f t="shared" ref="AD51:AD52" si="20">AB51-$U51</f>
        <v>759858.35999999975</v>
      </c>
    </row>
    <row r="52" spans="1:30" ht="11.25" outlineLevel="5" x14ac:dyDescent="0.2">
      <c r="A52" s="1207">
        <v>21</v>
      </c>
      <c r="B52" s="1207"/>
      <c r="C52" s="1208" t="s">
        <v>843</v>
      </c>
      <c r="D52" s="1208"/>
      <c r="E52" s="1208"/>
      <c r="F52" s="540" t="s">
        <v>844</v>
      </c>
      <c r="G52" s="541" t="s">
        <v>774</v>
      </c>
      <c r="H52" s="542">
        <v>10</v>
      </c>
      <c r="I52" s="540" t="s">
        <v>769</v>
      </c>
      <c r="J52" s="541" t="s">
        <v>770</v>
      </c>
      <c r="K52" s="540" t="s">
        <v>771</v>
      </c>
      <c r="L52" s="543">
        <v>0.27800000000000002</v>
      </c>
      <c r="M52" s="544">
        <v>360</v>
      </c>
      <c r="N52" s="545">
        <v>69.040000000000006</v>
      </c>
      <c r="O52" s="537">
        <v>1406202.8</v>
      </c>
      <c r="P52" s="538">
        <v>1</v>
      </c>
      <c r="Q52" s="537">
        <v>970827.83</v>
      </c>
      <c r="R52" s="537">
        <v>435374.97</v>
      </c>
      <c r="S52" s="537">
        <f t="shared" si="12"/>
        <v>2394.5623350000001</v>
      </c>
      <c r="T52" s="537">
        <v>3906.12</v>
      </c>
      <c r="U52" s="537">
        <f t="shared" si="13"/>
        <v>11718.36</v>
      </c>
      <c r="V52" s="546">
        <f t="shared" si="14"/>
        <v>423656.61</v>
      </c>
      <c r="W52" s="546">
        <f t="shared" si="15"/>
        <v>2330</v>
      </c>
      <c r="X52" s="546">
        <f>V52-$U52</f>
        <v>411938.25</v>
      </c>
      <c r="Y52" s="546">
        <f t="shared" si="16"/>
        <v>2266</v>
      </c>
      <c r="Z52" s="546">
        <f t="shared" si="17"/>
        <v>400219.89</v>
      </c>
      <c r="AA52" s="546">
        <f t="shared" si="18"/>
        <v>2201</v>
      </c>
      <c r="AB52" s="546">
        <f>Z52-$U52</f>
        <v>388501.53</v>
      </c>
      <c r="AC52" s="546">
        <f t="shared" si="19"/>
        <v>2137</v>
      </c>
      <c r="AD52" s="546">
        <f t="shared" si="20"/>
        <v>376783.17000000004</v>
      </c>
    </row>
    <row r="53" spans="1:30" ht="11.1" hidden="1" customHeight="1" outlineLevel="3" x14ac:dyDescent="0.2">
      <c r="A53" s="1210" t="s">
        <v>845</v>
      </c>
      <c r="B53" s="1210"/>
      <c r="C53" s="1210"/>
      <c r="D53" s="1210"/>
      <c r="E53" s="1210"/>
      <c r="F53" s="1210"/>
      <c r="G53" s="1210"/>
      <c r="H53" s="1210"/>
      <c r="I53" s="1210"/>
      <c r="J53" s="1210"/>
      <c r="K53" s="1210"/>
      <c r="L53" s="1210"/>
      <c r="M53" s="1210"/>
      <c r="N53" s="1210"/>
      <c r="O53" s="537">
        <v>527695.05000000005</v>
      </c>
      <c r="P53" s="538">
        <v>3</v>
      </c>
      <c r="Q53" s="537"/>
      <c r="R53" s="539"/>
      <c r="S53" s="539"/>
      <c r="T53" s="539"/>
    </row>
    <row r="54" spans="1:30" ht="11.1" hidden="1" customHeight="1" outlineLevel="4" x14ac:dyDescent="0.2">
      <c r="A54" s="1211" t="s">
        <v>846</v>
      </c>
      <c r="B54" s="1211"/>
      <c r="C54" s="1211"/>
      <c r="D54" s="1211"/>
      <c r="E54" s="1211"/>
      <c r="F54" s="1211"/>
      <c r="G54" s="1211"/>
      <c r="H54" s="1211"/>
      <c r="I54" s="1211"/>
      <c r="J54" s="1211"/>
      <c r="K54" s="1211"/>
      <c r="L54" s="1211"/>
      <c r="M54" s="1211"/>
      <c r="N54" s="1211"/>
      <c r="O54" s="537">
        <v>527695.05000000005</v>
      </c>
      <c r="P54" s="538">
        <v>3</v>
      </c>
      <c r="Q54" s="537"/>
      <c r="R54" s="539"/>
      <c r="S54" s="539"/>
      <c r="T54" s="539"/>
    </row>
    <row r="55" spans="1:30" ht="11.1" hidden="1" customHeight="1" outlineLevel="5" x14ac:dyDescent="0.2">
      <c r="A55" s="1207">
        <v>22</v>
      </c>
      <c r="B55" s="1207"/>
      <c r="C55" s="1208" t="s">
        <v>847</v>
      </c>
      <c r="D55" s="1208"/>
      <c r="E55" s="1208"/>
      <c r="F55" s="540" t="s">
        <v>848</v>
      </c>
      <c r="G55" s="541" t="s">
        <v>768</v>
      </c>
      <c r="H55" s="542">
        <v>7</v>
      </c>
      <c r="I55" s="540" t="s">
        <v>769</v>
      </c>
      <c r="J55" s="541" t="s">
        <v>849</v>
      </c>
      <c r="K55" s="540" t="s">
        <v>771</v>
      </c>
      <c r="L55" s="543">
        <v>0.41699999999999998</v>
      </c>
      <c r="M55" s="544">
        <v>240</v>
      </c>
      <c r="N55" s="545">
        <v>100</v>
      </c>
      <c r="O55" s="537">
        <v>30861</v>
      </c>
      <c r="P55" s="538">
        <v>1</v>
      </c>
      <c r="Q55" s="537">
        <v>30861</v>
      </c>
      <c r="R55" s="537">
        <f t="shared" ref="R55:R57" si="21">O55-Q55</f>
        <v>0</v>
      </c>
      <c r="S55" s="537"/>
      <c r="T55" s="539"/>
    </row>
    <row r="56" spans="1:30" ht="11.1" hidden="1" customHeight="1" outlineLevel="5" x14ac:dyDescent="0.2">
      <c r="A56" s="1207">
        <v>23</v>
      </c>
      <c r="B56" s="1207"/>
      <c r="C56" s="1208" t="s">
        <v>850</v>
      </c>
      <c r="D56" s="1208"/>
      <c r="E56" s="1208"/>
      <c r="F56" s="540" t="s">
        <v>851</v>
      </c>
      <c r="G56" s="541" t="s">
        <v>768</v>
      </c>
      <c r="H56" s="542">
        <v>9</v>
      </c>
      <c r="I56" s="540" t="s">
        <v>809</v>
      </c>
      <c r="J56" s="541" t="s">
        <v>852</v>
      </c>
      <c r="K56" s="540" t="s">
        <v>853</v>
      </c>
      <c r="L56" s="543">
        <v>0.27800000000000002</v>
      </c>
      <c r="M56" s="544">
        <v>360</v>
      </c>
      <c r="N56" s="545">
        <v>100</v>
      </c>
      <c r="O56" s="537">
        <v>4989.05</v>
      </c>
      <c r="P56" s="538">
        <v>1</v>
      </c>
      <c r="Q56" s="537">
        <v>4989.05</v>
      </c>
      <c r="R56" s="537">
        <f t="shared" si="21"/>
        <v>0</v>
      </c>
      <c r="S56" s="537"/>
      <c r="T56" s="539"/>
    </row>
    <row r="57" spans="1:30" ht="11.1" hidden="1" customHeight="1" outlineLevel="5" x14ac:dyDescent="0.2">
      <c r="A57" s="1207">
        <v>24</v>
      </c>
      <c r="B57" s="1207"/>
      <c r="C57" s="1208" t="s">
        <v>854</v>
      </c>
      <c r="D57" s="1208"/>
      <c r="E57" s="1208"/>
      <c r="F57" s="540" t="s">
        <v>855</v>
      </c>
      <c r="G57" s="541" t="s">
        <v>779</v>
      </c>
      <c r="H57" s="542">
        <v>10</v>
      </c>
      <c r="I57" s="540" t="s">
        <v>769</v>
      </c>
      <c r="J57" s="541" t="s">
        <v>856</v>
      </c>
      <c r="K57" s="540" t="s">
        <v>771</v>
      </c>
      <c r="L57" s="543">
        <v>3.3330000000000002</v>
      </c>
      <c r="M57" s="544">
        <v>30</v>
      </c>
      <c r="N57" s="545">
        <v>100</v>
      </c>
      <c r="O57" s="537">
        <v>491845</v>
      </c>
      <c r="P57" s="538">
        <v>1</v>
      </c>
      <c r="Q57" s="537">
        <v>491845</v>
      </c>
      <c r="R57" s="537">
        <f t="shared" si="21"/>
        <v>0</v>
      </c>
      <c r="S57" s="537"/>
      <c r="T57" s="539"/>
    </row>
    <row r="58" spans="1:30" ht="11.1" hidden="1" customHeight="1" outlineLevel="3" x14ac:dyDescent="0.2">
      <c r="A58" s="1210" t="s">
        <v>857</v>
      </c>
      <c r="B58" s="1210"/>
      <c r="C58" s="1210"/>
      <c r="D58" s="1210"/>
      <c r="E58" s="1210"/>
      <c r="F58" s="1210"/>
      <c r="G58" s="1210"/>
      <c r="H58" s="1210"/>
      <c r="I58" s="1210"/>
      <c r="J58" s="1210"/>
      <c r="K58" s="1210"/>
      <c r="L58" s="1210"/>
      <c r="M58" s="1210"/>
      <c r="N58" s="1210"/>
      <c r="O58" s="537">
        <v>14166300.33</v>
      </c>
      <c r="P58" s="538">
        <v>4</v>
      </c>
      <c r="Q58" s="537"/>
      <c r="R58" s="537"/>
      <c r="S58" s="537"/>
      <c r="T58" s="537"/>
    </row>
    <row r="59" spans="1:30" ht="11.1" hidden="1" customHeight="1" outlineLevel="4" x14ac:dyDescent="0.2">
      <c r="A59" s="1211" t="s">
        <v>858</v>
      </c>
      <c r="B59" s="1211"/>
      <c r="C59" s="1211"/>
      <c r="D59" s="1211"/>
      <c r="E59" s="1211"/>
      <c r="F59" s="1211"/>
      <c r="G59" s="1211"/>
      <c r="H59" s="1211"/>
      <c r="I59" s="1211"/>
      <c r="J59" s="1211"/>
      <c r="K59" s="1211"/>
      <c r="L59" s="1211"/>
      <c r="M59" s="1211"/>
      <c r="N59" s="1211"/>
      <c r="O59" s="537">
        <v>14166300.33</v>
      </c>
      <c r="P59" s="538">
        <v>4</v>
      </c>
      <c r="Q59" s="537"/>
      <c r="R59" s="537"/>
      <c r="S59" s="537"/>
      <c r="T59" s="537"/>
    </row>
    <row r="60" spans="1:30" ht="11.1" customHeight="1" outlineLevel="5" x14ac:dyDescent="0.2">
      <c r="A60" s="1207">
        <v>25</v>
      </c>
      <c r="B60" s="1207"/>
      <c r="C60" s="1208" t="s">
        <v>834</v>
      </c>
      <c r="D60" s="1208"/>
      <c r="E60" s="1208"/>
      <c r="F60" s="540" t="s">
        <v>859</v>
      </c>
      <c r="G60" s="541" t="s">
        <v>815</v>
      </c>
      <c r="H60" s="542">
        <v>10</v>
      </c>
      <c r="I60" s="540" t="s">
        <v>769</v>
      </c>
      <c r="J60" s="541" t="s">
        <v>770</v>
      </c>
      <c r="K60" s="540" t="s">
        <v>771</v>
      </c>
      <c r="L60" s="543">
        <v>6.7000000000000004E-2</v>
      </c>
      <c r="M60" s="547">
        <v>1500</v>
      </c>
      <c r="N60" s="545">
        <v>26.17</v>
      </c>
      <c r="O60" s="537">
        <v>9071406.75</v>
      </c>
      <c r="P60" s="538">
        <v>1</v>
      </c>
      <c r="Q60" s="537">
        <v>2374033.11</v>
      </c>
      <c r="R60" s="537">
        <v>6697373.6399999997</v>
      </c>
      <c r="S60" s="537">
        <f>R60*$S$11</f>
        <v>36835.55502</v>
      </c>
      <c r="T60" s="537">
        <v>6047.6</v>
      </c>
      <c r="U60" s="537">
        <f>T60*3</f>
        <v>18142.800000000003</v>
      </c>
      <c r="V60" s="546">
        <f>R60-U60</f>
        <v>6679230.8399999999</v>
      </c>
      <c r="W60" s="546">
        <f>ROUND(V60*$W$11,0)</f>
        <v>36736</v>
      </c>
      <c r="X60" s="546">
        <f>V60-$U60</f>
        <v>6661088.04</v>
      </c>
      <c r="Y60" s="546">
        <f>ROUND(X60*$Y$11,0)</f>
        <v>36636</v>
      </c>
      <c r="Z60" s="546">
        <f>X60-$U60</f>
        <v>6642945.2400000002</v>
      </c>
      <c r="AA60" s="546">
        <f>ROUND(Z60*$AA$11,0)</f>
        <v>36536</v>
      </c>
      <c r="AB60" s="546">
        <f>Z60-$U60</f>
        <v>6624802.4400000004</v>
      </c>
      <c r="AC60" s="546">
        <f>ROUND(AB60*$AC$11,0)</f>
        <v>36436</v>
      </c>
      <c r="AD60" s="546">
        <f t="shared" ref="AD60" si="22">AB60-$U60</f>
        <v>6606659.6400000006</v>
      </c>
    </row>
    <row r="61" spans="1:30" ht="11.1" hidden="1" customHeight="1" outlineLevel="5" x14ac:dyDescent="0.2">
      <c r="A61" s="1207">
        <v>26</v>
      </c>
      <c r="B61" s="1207"/>
      <c r="C61" s="1208" t="s">
        <v>860</v>
      </c>
      <c r="D61" s="1208"/>
      <c r="E61" s="1208"/>
      <c r="F61" s="540" t="s">
        <v>861</v>
      </c>
      <c r="G61" s="541" t="s">
        <v>815</v>
      </c>
      <c r="H61" s="542">
        <v>10</v>
      </c>
      <c r="I61" s="540" t="s">
        <v>769</v>
      </c>
      <c r="J61" s="541" t="s">
        <v>770</v>
      </c>
      <c r="K61" s="540" t="s">
        <v>771</v>
      </c>
      <c r="L61" s="543">
        <v>0.27500000000000002</v>
      </c>
      <c r="M61" s="544">
        <v>364</v>
      </c>
      <c r="N61" s="545">
        <v>100</v>
      </c>
      <c r="O61" s="537">
        <v>77272.02</v>
      </c>
      <c r="P61" s="538">
        <v>1</v>
      </c>
      <c r="Q61" s="537">
        <v>77272.02</v>
      </c>
      <c r="R61" s="537">
        <f t="shared" ref="R61" si="23">O61-Q61</f>
        <v>0</v>
      </c>
      <c r="S61" s="537"/>
      <c r="T61" s="539"/>
    </row>
    <row r="62" spans="1:30" ht="11.1" customHeight="1" outlineLevel="5" x14ac:dyDescent="0.2">
      <c r="A62" s="1207">
        <v>27</v>
      </c>
      <c r="B62" s="1207"/>
      <c r="C62" s="1208" t="s">
        <v>862</v>
      </c>
      <c r="D62" s="1208"/>
      <c r="E62" s="1208"/>
      <c r="F62" s="540" t="s">
        <v>863</v>
      </c>
      <c r="G62" s="541" t="s">
        <v>779</v>
      </c>
      <c r="H62" s="542">
        <v>10</v>
      </c>
      <c r="I62" s="540" t="s">
        <v>769</v>
      </c>
      <c r="J62" s="541" t="s">
        <v>770</v>
      </c>
      <c r="K62" s="540" t="s">
        <v>771</v>
      </c>
      <c r="L62" s="543">
        <v>6.7000000000000004E-2</v>
      </c>
      <c r="M62" s="547">
        <v>1500</v>
      </c>
      <c r="N62" s="545">
        <v>26.2</v>
      </c>
      <c r="O62" s="537">
        <v>4365614.82</v>
      </c>
      <c r="P62" s="538">
        <v>1</v>
      </c>
      <c r="Q62" s="537">
        <v>1143647.67</v>
      </c>
      <c r="R62" s="537">
        <v>3221967.15</v>
      </c>
      <c r="S62" s="537">
        <f t="shared" ref="S62:S63" si="24">R62*$S$11</f>
        <v>17720.819325</v>
      </c>
      <c r="T62" s="537">
        <v>2910.41</v>
      </c>
      <c r="U62" s="537">
        <f t="shared" ref="U62:U63" si="25">T62*3</f>
        <v>8731.23</v>
      </c>
      <c r="V62" s="546">
        <f t="shared" ref="V62:V63" si="26">R62-U62</f>
        <v>3213235.92</v>
      </c>
      <c r="W62" s="546">
        <f t="shared" ref="W62:W63" si="27">ROUND(V62*$W$11,0)</f>
        <v>17673</v>
      </c>
      <c r="X62" s="546">
        <f>V62-$U62</f>
        <v>3204504.69</v>
      </c>
      <c r="Y62" s="546">
        <f t="shared" ref="Y62:Y63" si="28">ROUND(X62*$Y$11,0)</f>
        <v>17625</v>
      </c>
      <c r="Z62" s="546">
        <f t="shared" ref="Z62:Z63" si="29">X62-$U62</f>
        <v>3195773.46</v>
      </c>
      <c r="AA62" s="546">
        <f t="shared" ref="AA62:AA63" si="30">ROUND(Z62*$AA$11,0)</f>
        <v>17577</v>
      </c>
      <c r="AB62" s="546">
        <f>Z62-$U62</f>
        <v>3187042.23</v>
      </c>
      <c r="AC62" s="546">
        <f t="shared" ref="AC62:AC63" si="31">ROUND(AB62*$AC$11,0)</f>
        <v>17529</v>
      </c>
      <c r="AD62" s="546">
        <f t="shared" ref="AD62:AD63" si="32">AB62-$U62</f>
        <v>3178311</v>
      </c>
    </row>
    <row r="63" spans="1:30" ht="11.1" customHeight="1" outlineLevel="5" x14ac:dyDescent="0.2">
      <c r="A63" s="1207">
        <v>28</v>
      </c>
      <c r="B63" s="1207"/>
      <c r="C63" s="1208" t="s">
        <v>864</v>
      </c>
      <c r="D63" s="1208"/>
      <c r="E63" s="1208"/>
      <c r="F63" s="540" t="s">
        <v>865</v>
      </c>
      <c r="G63" s="541" t="s">
        <v>779</v>
      </c>
      <c r="H63" s="542">
        <v>10</v>
      </c>
      <c r="I63" s="540" t="s">
        <v>769</v>
      </c>
      <c r="J63" s="541" t="s">
        <v>770</v>
      </c>
      <c r="K63" s="540" t="s">
        <v>771</v>
      </c>
      <c r="L63" s="543">
        <v>6.7000000000000004E-2</v>
      </c>
      <c r="M63" s="547">
        <v>1500</v>
      </c>
      <c r="N63" s="545">
        <v>26.2</v>
      </c>
      <c r="O63" s="537">
        <v>652006.74</v>
      </c>
      <c r="P63" s="538">
        <v>1</v>
      </c>
      <c r="Q63" s="537">
        <v>170826.02</v>
      </c>
      <c r="R63" s="537">
        <v>481180.72</v>
      </c>
      <c r="S63" s="537">
        <f t="shared" si="24"/>
        <v>2646.4939600000002</v>
      </c>
      <c r="T63" s="537">
        <v>434.67</v>
      </c>
      <c r="U63" s="537">
        <f t="shared" si="25"/>
        <v>1304.01</v>
      </c>
      <c r="V63" s="546">
        <f t="shared" si="26"/>
        <v>479876.70999999996</v>
      </c>
      <c r="W63" s="546">
        <f t="shared" si="27"/>
        <v>2639</v>
      </c>
      <c r="X63" s="546">
        <f>V63-$U63</f>
        <v>478572.69999999995</v>
      </c>
      <c r="Y63" s="546">
        <f t="shared" si="28"/>
        <v>2632</v>
      </c>
      <c r="Z63" s="546">
        <f t="shared" si="29"/>
        <v>477268.68999999994</v>
      </c>
      <c r="AA63" s="546">
        <f t="shared" si="30"/>
        <v>2625</v>
      </c>
      <c r="AB63" s="546">
        <f>Z63-$U63</f>
        <v>475964.67999999993</v>
      </c>
      <c r="AC63" s="546">
        <f t="shared" si="31"/>
        <v>2618</v>
      </c>
      <c r="AD63" s="546">
        <f t="shared" si="32"/>
        <v>474660.66999999993</v>
      </c>
    </row>
    <row r="64" spans="1:30" ht="11.1" hidden="1" customHeight="1" outlineLevel="3" x14ac:dyDescent="0.2">
      <c r="A64" s="1210" t="s">
        <v>866</v>
      </c>
      <c r="B64" s="1210"/>
      <c r="C64" s="1210"/>
      <c r="D64" s="1210"/>
      <c r="E64" s="1210"/>
      <c r="F64" s="1210"/>
      <c r="G64" s="1210"/>
      <c r="H64" s="1210"/>
      <c r="I64" s="1210"/>
      <c r="J64" s="1210"/>
      <c r="K64" s="1210"/>
      <c r="L64" s="1210"/>
      <c r="M64" s="1210"/>
      <c r="N64" s="1210"/>
      <c r="O64" s="537">
        <v>26801185.879999999</v>
      </c>
      <c r="P64" s="538">
        <v>19</v>
      </c>
      <c r="Q64" s="537"/>
      <c r="R64" s="537"/>
      <c r="S64" s="537"/>
      <c r="T64" s="537"/>
    </row>
    <row r="65" spans="1:30" ht="11.1" hidden="1" customHeight="1" outlineLevel="4" x14ac:dyDescent="0.2">
      <c r="A65" s="1211"/>
      <c r="B65" s="1211"/>
      <c r="C65" s="1211"/>
      <c r="D65" s="1211"/>
      <c r="E65" s="1211"/>
      <c r="F65" s="1211"/>
      <c r="G65" s="1211"/>
      <c r="H65" s="1211"/>
      <c r="I65" s="1211"/>
      <c r="J65" s="1211"/>
      <c r="K65" s="1211"/>
      <c r="L65" s="1211"/>
      <c r="M65" s="1211"/>
      <c r="N65" s="1211"/>
      <c r="O65" s="537">
        <v>26801185.879999999</v>
      </c>
      <c r="P65" s="538">
        <v>19</v>
      </c>
      <c r="Q65" s="537"/>
      <c r="R65" s="537"/>
      <c r="S65" s="537"/>
      <c r="T65" s="537"/>
    </row>
    <row r="66" spans="1:30" ht="11.25" outlineLevel="5" x14ac:dyDescent="0.2">
      <c r="A66" s="1207">
        <v>29</v>
      </c>
      <c r="B66" s="1207"/>
      <c r="C66" s="1208" t="s">
        <v>867</v>
      </c>
      <c r="D66" s="1208"/>
      <c r="E66" s="1208"/>
      <c r="F66" s="540" t="s">
        <v>868</v>
      </c>
      <c r="G66" s="541" t="s">
        <v>869</v>
      </c>
      <c r="H66" s="542">
        <v>10</v>
      </c>
      <c r="I66" s="540" t="s">
        <v>769</v>
      </c>
      <c r="J66" s="541" t="s">
        <v>870</v>
      </c>
      <c r="K66" s="540" t="s">
        <v>771</v>
      </c>
      <c r="L66" s="543">
        <v>0.27800000000000002</v>
      </c>
      <c r="M66" s="544">
        <v>360</v>
      </c>
      <c r="N66" s="545">
        <v>42.29</v>
      </c>
      <c r="O66" s="537">
        <v>584327.64</v>
      </c>
      <c r="P66" s="538">
        <v>1</v>
      </c>
      <c r="Q66" s="537">
        <v>247091.99</v>
      </c>
      <c r="R66" s="537">
        <v>337235.65</v>
      </c>
      <c r="S66" s="537">
        <f>R66*$S$11</f>
        <v>1854.7960750000002</v>
      </c>
      <c r="T66" s="537">
        <v>1623.13</v>
      </c>
      <c r="U66" s="537">
        <f>T66*3</f>
        <v>4869.3900000000003</v>
      </c>
      <c r="V66" s="546">
        <f>R66-U66</f>
        <v>332366.26</v>
      </c>
      <c r="W66" s="546">
        <f>ROUND(V66*$W$11,0)</f>
        <v>1828</v>
      </c>
      <c r="X66" s="546">
        <f>V66-$U66</f>
        <v>327496.87</v>
      </c>
      <c r="Y66" s="546">
        <f>ROUND(X66*$Y$11,0)</f>
        <v>1801</v>
      </c>
      <c r="Z66" s="546">
        <f>X66-$U66</f>
        <v>322627.48</v>
      </c>
      <c r="AA66" s="546">
        <f>ROUND(Z66*$AA$11,0)</f>
        <v>1774</v>
      </c>
      <c r="AB66" s="546">
        <f>Z66-$U66</f>
        <v>317758.08999999997</v>
      </c>
      <c r="AC66" s="546">
        <f>ROUND(AB66*$AC$11,0)</f>
        <v>1748</v>
      </c>
      <c r="AD66" s="546">
        <f t="shared" ref="AD66" si="33">AB66-$U66</f>
        <v>312888.69999999995</v>
      </c>
    </row>
    <row r="67" spans="1:30" ht="11.25" hidden="1" outlineLevel="5" x14ac:dyDescent="0.2">
      <c r="A67" s="1207">
        <v>30</v>
      </c>
      <c r="B67" s="1207"/>
      <c r="C67" s="1208" t="s">
        <v>871</v>
      </c>
      <c r="D67" s="1208"/>
      <c r="E67" s="1208"/>
      <c r="F67" s="540" t="s">
        <v>872</v>
      </c>
      <c r="G67" s="541" t="s">
        <v>873</v>
      </c>
      <c r="H67" s="542">
        <v>10</v>
      </c>
      <c r="I67" s="540" t="s">
        <v>769</v>
      </c>
      <c r="J67" s="541" t="s">
        <v>874</v>
      </c>
      <c r="K67" s="540" t="s">
        <v>771</v>
      </c>
      <c r="L67" s="543">
        <v>1.19</v>
      </c>
      <c r="M67" s="544">
        <v>84</v>
      </c>
      <c r="N67" s="545">
        <v>100</v>
      </c>
      <c r="O67" s="537">
        <v>529000</v>
      </c>
      <c r="P67" s="538">
        <v>1</v>
      </c>
      <c r="Q67" s="537">
        <v>529000</v>
      </c>
      <c r="R67" s="537">
        <f t="shared" ref="R67:R78" si="34">O67-Q67</f>
        <v>0</v>
      </c>
      <c r="S67" s="537"/>
      <c r="T67" s="539"/>
    </row>
    <row r="68" spans="1:30" ht="11.25" hidden="1" outlineLevel="5" x14ac:dyDescent="0.2">
      <c r="A68" s="1207">
        <v>31</v>
      </c>
      <c r="B68" s="1207"/>
      <c r="C68" s="1208" t="s">
        <v>875</v>
      </c>
      <c r="D68" s="1208"/>
      <c r="E68" s="1208"/>
      <c r="F68" s="540" t="s">
        <v>876</v>
      </c>
      <c r="G68" s="541" t="s">
        <v>873</v>
      </c>
      <c r="H68" s="542">
        <v>10</v>
      </c>
      <c r="I68" s="540" t="s">
        <v>769</v>
      </c>
      <c r="J68" s="541" t="s">
        <v>874</v>
      </c>
      <c r="K68" s="540" t="s">
        <v>771</v>
      </c>
      <c r="L68" s="543">
        <v>1.19</v>
      </c>
      <c r="M68" s="544">
        <v>84</v>
      </c>
      <c r="N68" s="545">
        <v>100</v>
      </c>
      <c r="O68" s="537">
        <v>352000</v>
      </c>
      <c r="P68" s="538">
        <v>1</v>
      </c>
      <c r="Q68" s="537">
        <v>352000</v>
      </c>
      <c r="R68" s="537">
        <f t="shared" si="34"/>
        <v>0</v>
      </c>
      <c r="S68" s="537"/>
      <c r="T68" s="539"/>
    </row>
    <row r="69" spans="1:30" ht="11.25" hidden="1" outlineLevel="5" x14ac:dyDescent="0.2">
      <c r="A69" s="1207">
        <v>32</v>
      </c>
      <c r="B69" s="1207"/>
      <c r="C69" s="1208" t="s">
        <v>801</v>
      </c>
      <c r="D69" s="1208"/>
      <c r="E69" s="1208"/>
      <c r="F69" s="540" t="s">
        <v>877</v>
      </c>
      <c r="G69" s="542">
        <v>110001120</v>
      </c>
      <c r="H69" s="542">
        <v>10</v>
      </c>
      <c r="I69" s="540" t="s">
        <v>769</v>
      </c>
      <c r="J69" s="541" t="s">
        <v>878</v>
      </c>
      <c r="K69" s="540" t="s">
        <v>771</v>
      </c>
      <c r="L69" s="543">
        <v>0.27800000000000002</v>
      </c>
      <c r="M69" s="544">
        <v>360</v>
      </c>
      <c r="N69" s="545">
        <v>100</v>
      </c>
      <c r="O69" s="537">
        <v>3138643.02</v>
      </c>
      <c r="P69" s="538">
        <v>1</v>
      </c>
      <c r="Q69" s="537">
        <v>3138643.02</v>
      </c>
      <c r="R69" s="537">
        <f t="shared" si="34"/>
        <v>0</v>
      </c>
      <c r="S69" s="537"/>
      <c r="T69" s="539"/>
    </row>
    <row r="70" spans="1:30" ht="11.25" hidden="1" outlineLevel="5" x14ac:dyDescent="0.2">
      <c r="A70" s="1207">
        <v>33</v>
      </c>
      <c r="B70" s="1207"/>
      <c r="C70" s="1208" t="s">
        <v>879</v>
      </c>
      <c r="D70" s="1208"/>
      <c r="E70" s="1208"/>
      <c r="F70" s="540" t="s">
        <v>880</v>
      </c>
      <c r="G70" s="542">
        <v>110001120</v>
      </c>
      <c r="H70" s="542">
        <v>10</v>
      </c>
      <c r="I70" s="540" t="s">
        <v>769</v>
      </c>
      <c r="J70" s="541" t="s">
        <v>878</v>
      </c>
      <c r="K70" s="540" t="s">
        <v>771</v>
      </c>
      <c r="L70" s="543">
        <v>0.27800000000000002</v>
      </c>
      <c r="M70" s="544">
        <v>360</v>
      </c>
      <c r="N70" s="545">
        <v>100</v>
      </c>
      <c r="O70" s="537">
        <v>876866.46</v>
      </c>
      <c r="P70" s="538">
        <v>1</v>
      </c>
      <c r="Q70" s="537">
        <v>876866.46</v>
      </c>
      <c r="R70" s="537">
        <f t="shared" si="34"/>
        <v>0</v>
      </c>
      <c r="S70" s="537"/>
      <c r="T70" s="539"/>
    </row>
    <row r="71" spans="1:30" ht="11.25" hidden="1" outlineLevel="5" x14ac:dyDescent="0.2">
      <c r="A71" s="1207">
        <v>34</v>
      </c>
      <c r="B71" s="1207"/>
      <c r="C71" s="1208" t="s">
        <v>881</v>
      </c>
      <c r="D71" s="1208"/>
      <c r="E71" s="1208"/>
      <c r="F71" s="540" t="s">
        <v>882</v>
      </c>
      <c r="G71" s="542">
        <v>124526373</v>
      </c>
      <c r="H71" s="542">
        <v>10</v>
      </c>
      <c r="I71" s="540" t="s">
        <v>769</v>
      </c>
      <c r="J71" s="541" t="s">
        <v>878</v>
      </c>
      <c r="K71" s="540" t="s">
        <v>771</v>
      </c>
      <c r="L71" s="543">
        <v>0.27800000000000002</v>
      </c>
      <c r="M71" s="544">
        <v>360</v>
      </c>
      <c r="N71" s="545">
        <v>100</v>
      </c>
      <c r="O71" s="537">
        <v>222997</v>
      </c>
      <c r="P71" s="538">
        <v>1</v>
      </c>
      <c r="Q71" s="537">
        <v>222997</v>
      </c>
      <c r="R71" s="537">
        <f t="shared" si="34"/>
        <v>0</v>
      </c>
      <c r="S71" s="537"/>
      <c r="T71" s="539"/>
    </row>
    <row r="72" spans="1:30" ht="11.25" hidden="1" outlineLevel="5" x14ac:dyDescent="0.2">
      <c r="A72" s="1207">
        <v>35</v>
      </c>
      <c r="B72" s="1207"/>
      <c r="C72" s="1208" t="s">
        <v>883</v>
      </c>
      <c r="D72" s="1208"/>
      <c r="E72" s="1208"/>
      <c r="F72" s="540" t="s">
        <v>884</v>
      </c>
      <c r="G72" s="542">
        <v>124526373</v>
      </c>
      <c r="H72" s="542">
        <v>10</v>
      </c>
      <c r="I72" s="540" t="s">
        <v>769</v>
      </c>
      <c r="J72" s="541" t="s">
        <v>878</v>
      </c>
      <c r="K72" s="540" t="s">
        <v>771</v>
      </c>
      <c r="L72" s="543">
        <v>0.83299999999999996</v>
      </c>
      <c r="M72" s="544">
        <v>120</v>
      </c>
      <c r="N72" s="545">
        <v>100</v>
      </c>
      <c r="O72" s="537">
        <v>189159</v>
      </c>
      <c r="P72" s="538">
        <v>1</v>
      </c>
      <c r="Q72" s="537">
        <v>189159</v>
      </c>
      <c r="R72" s="537">
        <f t="shared" si="34"/>
        <v>0</v>
      </c>
      <c r="S72" s="537"/>
      <c r="T72" s="539"/>
    </row>
    <row r="73" spans="1:30" ht="11.25" hidden="1" outlineLevel="5" x14ac:dyDescent="0.2">
      <c r="A73" s="1207">
        <v>36</v>
      </c>
      <c r="B73" s="1207"/>
      <c r="C73" s="1208" t="s">
        <v>885</v>
      </c>
      <c r="D73" s="1208"/>
      <c r="E73" s="1208"/>
      <c r="F73" s="540" t="s">
        <v>886</v>
      </c>
      <c r="G73" s="542">
        <v>120001090</v>
      </c>
      <c r="H73" s="542">
        <v>10</v>
      </c>
      <c r="I73" s="540" t="s">
        <v>769</v>
      </c>
      <c r="J73" s="541" t="s">
        <v>878</v>
      </c>
      <c r="K73" s="540" t="s">
        <v>771</v>
      </c>
      <c r="L73" s="543">
        <v>0.27800000000000002</v>
      </c>
      <c r="M73" s="544">
        <v>360</v>
      </c>
      <c r="N73" s="545">
        <v>100</v>
      </c>
      <c r="O73" s="537">
        <v>82127</v>
      </c>
      <c r="P73" s="538">
        <v>1</v>
      </c>
      <c r="Q73" s="537">
        <v>82127</v>
      </c>
      <c r="R73" s="537">
        <f t="shared" si="34"/>
        <v>0</v>
      </c>
      <c r="S73" s="537"/>
      <c r="T73" s="539"/>
    </row>
    <row r="74" spans="1:30" ht="11.25" hidden="1" outlineLevel="5" x14ac:dyDescent="0.2">
      <c r="A74" s="1207">
        <v>37</v>
      </c>
      <c r="B74" s="1207"/>
      <c r="C74" s="1208" t="s">
        <v>887</v>
      </c>
      <c r="D74" s="1208"/>
      <c r="E74" s="1208"/>
      <c r="F74" s="540" t="s">
        <v>888</v>
      </c>
      <c r="G74" s="542">
        <v>120001090</v>
      </c>
      <c r="H74" s="542">
        <v>10</v>
      </c>
      <c r="I74" s="540" t="s">
        <v>769</v>
      </c>
      <c r="J74" s="541" t="s">
        <v>878</v>
      </c>
      <c r="K74" s="540" t="s">
        <v>771</v>
      </c>
      <c r="L74" s="543">
        <v>0.27800000000000002</v>
      </c>
      <c r="M74" s="544">
        <v>360</v>
      </c>
      <c r="N74" s="545">
        <v>100</v>
      </c>
      <c r="O74" s="537">
        <v>66199</v>
      </c>
      <c r="P74" s="538">
        <v>1</v>
      </c>
      <c r="Q74" s="537">
        <v>66199</v>
      </c>
      <c r="R74" s="537">
        <f t="shared" si="34"/>
        <v>0</v>
      </c>
      <c r="S74" s="537"/>
      <c r="T74" s="539"/>
    </row>
    <row r="75" spans="1:30" ht="11.25" hidden="1" outlineLevel="5" x14ac:dyDescent="0.2">
      <c r="A75" s="1207">
        <v>38</v>
      </c>
      <c r="B75" s="1207"/>
      <c r="C75" s="1208" t="s">
        <v>889</v>
      </c>
      <c r="D75" s="1208"/>
      <c r="E75" s="1208"/>
      <c r="F75" s="540" t="s">
        <v>890</v>
      </c>
      <c r="G75" s="542">
        <v>124521126</v>
      </c>
      <c r="H75" s="542">
        <v>5</v>
      </c>
      <c r="I75" s="540" t="s">
        <v>769</v>
      </c>
      <c r="J75" s="541" t="s">
        <v>878</v>
      </c>
      <c r="K75" s="540" t="s">
        <v>771</v>
      </c>
      <c r="L75" s="543">
        <v>0.83299999999999996</v>
      </c>
      <c r="M75" s="544">
        <v>120</v>
      </c>
      <c r="N75" s="545">
        <v>100</v>
      </c>
      <c r="O75" s="537">
        <v>581902</v>
      </c>
      <c r="P75" s="538">
        <v>1</v>
      </c>
      <c r="Q75" s="537">
        <v>581902</v>
      </c>
      <c r="R75" s="537">
        <f t="shared" si="34"/>
        <v>0</v>
      </c>
      <c r="S75" s="537"/>
      <c r="T75" s="539"/>
    </row>
    <row r="76" spans="1:30" ht="11.25" hidden="1" outlineLevel="5" x14ac:dyDescent="0.2">
      <c r="A76" s="1207">
        <v>39</v>
      </c>
      <c r="B76" s="1207"/>
      <c r="C76" s="1208" t="s">
        <v>891</v>
      </c>
      <c r="D76" s="1208"/>
      <c r="E76" s="1208"/>
      <c r="F76" s="540" t="s">
        <v>892</v>
      </c>
      <c r="G76" s="542">
        <v>120001110</v>
      </c>
      <c r="H76" s="542">
        <v>7</v>
      </c>
      <c r="I76" s="540" t="s">
        <v>769</v>
      </c>
      <c r="J76" s="541" t="s">
        <v>878</v>
      </c>
      <c r="K76" s="540" t="s">
        <v>771</v>
      </c>
      <c r="L76" s="543">
        <v>0.41699999999999998</v>
      </c>
      <c r="M76" s="544">
        <v>240</v>
      </c>
      <c r="N76" s="545">
        <v>100</v>
      </c>
      <c r="O76" s="537">
        <v>178823</v>
      </c>
      <c r="P76" s="538">
        <v>1</v>
      </c>
      <c r="Q76" s="537">
        <v>178823</v>
      </c>
      <c r="R76" s="537">
        <f t="shared" si="34"/>
        <v>0</v>
      </c>
      <c r="S76" s="537"/>
      <c r="T76" s="539"/>
    </row>
    <row r="77" spans="1:30" ht="11.25" hidden="1" outlineLevel="5" x14ac:dyDescent="0.2">
      <c r="A77" s="1207">
        <v>40</v>
      </c>
      <c r="B77" s="1207"/>
      <c r="C77" s="1208" t="s">
        <v>893</v>
      </c>
      <c r="D77" s="1208"/>
      <c r="E77" s="1208"/>
      <c r="F77" s="540" t="s">
        <v>894</v>
      </c>
      <c r="G77" s="542">
        <v>120001110</v>
      </c>
      <c r="H77" s="542">
        <v>7</v>
      </c>
      <c r="I77" s="540" t="s">
        <v>769</v>
      </c>
      <c r="J77" s="541" t="s">
        <v>878</v>
      </c>
      <c r="K77" s="540" t="s">
        <v>771</v>
      </c>
      <c r="L77" s="543">
        <v>0.41699999999999998</v>
      </c>
      <c r="M77" s="544">
        <v>240</v>
      </c>
      <c r="N77" s="545">
        <v>100</v>
      </c>
      <c r="O77" s="537">
        <v>54019</v>
      </c>
      <c r="P77" s="538">
        <v>1</v>
      </c>
      <c r="Q77" s="537">
        <v>54019</v>
      </c>
      <c r="R77" s="537">
        <f t="shared" si="34"/>
        <v>0</v>
      </c>
      <c r="S77" s="537"/>
      <c r="T77" s="539"/>
    </row>
    <row r="78" spans="1:30" ht="11.25" hidden="1" outlineLevel="5" x14ac:dyDescent="0.2">
      <c r="A78" s="1207">
        <v>41</v>
      </c>
      <c r="B78" s="1207"/>
      <c r="C78" s="1208" t="s">
        <v>895</v>
      </c>
      <c r="D78" s="1208"/>
      <c r="E78" s="1208"/>
      <c r="F78" s="540" t="s">
        <v>896</v>
      </c>
      <c r="G78" s="542">
        <v>120001090</v>
      </c>
      <c r="H78" s="542">
        <v>10</v>
      </c>
      <c r="I78" s="540" t="s">
        <v>769</v>
      </c>
      <c r="J78" s="541" t="s">
        <v>878</v>
      </c>
      <c r="K78" s="540" t="s">
        <v>771</v>
      </c>
      <c r="L78" s="543">
        <v>0.27800000000000002</v>
      </c>
      <c r="M78" s="544">
        <v>360</v>
      </c>
      <c r="N78" s="545">
        <v>100</v>
      </c>
      <c r="O78" s="537">
        <v>156051</v>
      </c>
      <c r="P78" s="538">
        <v>1</v>
      </c>
      <c r="Q78" s="537">
        <v>156051</v>
      </c>
      <c r="R78" s="537">
        <f t="shared" si="34"/>
        <v>0</v>
      </c>
      <c r="S78" s="537"/>
      <c r="T78" s="539"/>
    </row>
    <row r="79" spans="1:30" ht="11.25" outlineLevel="5" x14ac:dyDescent="0.2">
      <c r="A79" s="1207">
        <v>42</v>
      </c>
      <c r="B79" s="1207"/>
      <c r="C79" s="1208" t="s">
        <v>897</v>
      </c>
      <c r="D79" s="1208"/>
      <c r="E79" s="1208"/>
      <c r="F79" s="540" t="s">
        <v>898</v>
      </c>
      <c r="G79" s="541" t="s">
        <v>899</v>
      </c>
      <c r="H79" s="542">
        <v>10</v>
      </c>
      <c r="I79" s="540" t="s">
        <v>769</v>
      </c>
      <c r="J79" s="541" t="s">
        <v>770</v>
      </c>
      <c r="K79" s="540" t="s">
        <v>771</v>
      </c>
      <c r="L79" s="543">
        <v>0.13900000000000001</v>
      </c>
      <c r="M79" s="544">
        <v>800</v>
      </c>
      <c r="N79" s="545">
        <v>44.67</v>
      </c>
      <c r="O79" s="537">
        <v>497705</v>
      </c>
      <c r="P79" s="538">
        <v>1</v>
      </c>
      <c r="Q79" s="537">
        <v>222331.04</v>
      </c>
      <c r="R79" s="537">
        <v>275373.96000000002</v>
      </c>
      <c r="S79" s="537">
        <f t="shared" ref="S79:S80" si="35">R79*$S$11</f>
        <v>1514.5567800000003</v>
      </c>
      <c r="T79" s="537">
        <v>691.89</v>
      </c>
      <c r="U79" s="537">
        <f t="shared" ref="U79:U80" si="36">T79*3</f>
        <v>2075.67</v>
      </c>
      <c r="V79" s="546">
        <f t="shared" ref="V79:V80" si="37">R79-U79</f>
        <v>273298.29000000004</v>
      </c>
      <c r="W79" s="546">
        <f t="shared" ref="W79:W80" si="38">ROUND(V79*$W$11,0)</f>
        <v>1503</v>
      </c>
      <c r="X79" s="546">
        <f>V79-$U79</f>
        <v>271222.62000000005</v>
      </c>
      <c r="Y79" s="546">
        <f t="shared" ref="Y79:Y80" si="39">ROUND(X79*$Y$11,0)</f>
        <v>1492</v>
      </c>
      <c r="Z79" s="546">
        <f t="shared" ref="Z79:Z80" si="40">X79-$U79</f>
        <v>269146.95000000007</v>
      </c>
      <c r="AA79" s="546">
        <f t="shared" ref="AA79:AA80" si="41">ROUND(Z79*$AA$11,0)</f>
        <v>1480</v>
      </c>
      <c r="AB79" s="546">
        <f>Z79-$U79</f>
        <v>267071.28000000009</v>
      </c>
      <c r="AC79" s="546">
        <f t="shared" ref="AC79:AC80" si="42">ROUND(AB79*$AC$11,0)</f>
        <v>1469</v>
      </c>
      <c r="AD79" s="546">
        <f t="shared" ref="AD79:AD80" si="43">AB79-$U79</f>
        <v>264995.6100000001</v>
      </c>
    </row>
    <row r="80" spans="1:30" ht="11.25" outlineLevel="5" x14ac:dyDescent="0.2">
      <c r="A80" s="1207">
        <v>43</v>
      </c>
      <c r="B80" s="1207"/>
      <c r="C80" s="1208" t="s">
        <v>900</v>
      </c>
      <c r="D80" s="1208"/>
      <c r="E80" s="1208"/>
      <c r="F80" s="540" t="s">
        <v>901</v>
      </c>
      <c r="G80" s="541" t="s">
        <v>779</v>
      </c>
      <c r="H80" s="542">
        <v>8</v>
      </c>
      <c r="I80" s="540" t="s">
        <v>769</v>
      </c>
      <c r="J80" s="541" t="s">
        <v>770</v>
      </c>
      <c r="K80" s="540" t="s">
        <v>771</v>
      </c>
      <c r="L80" s="543">
        <v>0.20300000000000001</v>
      </c>
      <c r="M80" s="544">
        <v>480</v>
      </c>
      <c r="N80" s="545">
        <v>84.19</v>
      </c>
      <c r="O80" s="537">
        <v>1059912</v>
      </c>
      <c r="P80" s="538">
        <v>1</v>
      </c>
      <c r="Q80" s="537">
        <v>892384.45</v>
      </c>
      <c r="R80" s="537">
        <v>167527.54999999999</v>
      </c>
      <c r="S80" s="537">
        <f t="shared" si="35"/>
        <v>921.40152499999999</v>
      </c>
      <c r="T80" s="537">
        <v>2147.8000000000002</v>
      </c>
      <c r="U80" s="537">
        <f t="shared" si="36"/>
        <v>6443.4000000000005</v>
      </c>
      <c r="V80" s="546">
        <f t="shared" si="37"/>
        <v>161084.15</v>
      </c>
      <c r="W80" s="546">
        <f t="shared" si="38"/>
        <v>886</v>
      </c>
      <c r="X80" s="546">
        <f>V80-$U80</f>
        <v>154640.75</v>
      </c>
      <c r="Y80" s="546">
        <f t="shared" si="39"/>
        <v>851</v>
      </c>
      <c r="Z80" s="546">
        <f t="shared" si="40"/>
        <v>148197.35</v>
      </c>
      <c r="AA80" s="546">
        <f t="shared" si="41"/>
        <v>815</v>
      </c>
      <c r="AB80" s="546">
        <f>Z80-$U80</f>
        <v>141753.95000000001</v>
      </c>
      <c r="AC80" s="546">
        <f t="shared" si="42"/>
        <v>780</v>
      </c>
      <c r="AD80" s="546">
        <f t="shared" si="43"/>
        <v>135310.55000000002</v>
      </c>
    </row>
    <row r="81" spans="1:30" ht="11.25" hidden="1" outlineLevel="5" x14ac:dyDescent="0.2">
      <c r="A81" s="1207">
        <v>44</v>
      </c>
      <c r="B81" s="1207"/>
      <c r="C81" s="1208" t="s">
        <v>902</v>
      </c>
      <c r="D81" s="1208"/>
      <c r="E81" s="1208"/>
      <c r="F81" s="540" t="s">
        <v>903</v>
      </c>
      <c r="G81" s="541" t="s">
        <v>904</v>
      </c>
      <c r="H81" s="542">
        <v>10</v>
      </c>
      <c r="I81" s="540" t="s">
        <v>769</v>
      </c>
      <c r="J81" s="541" t="s">
        <v>770</v>
      </c>
      <c r="K81" s="540" t="s">
        <v>771</v>
      </c>
      <c r="L81" s="543">
        <v>46.837000000000003</v>
      </c>
      <c r="M81" s="544">
        <v>300</v>
      </c>
      <c r="N81" s="545">
        <v>100</v>
      </c>
      <c r="O81" s="537">
        <v>336123</v>
      </c>
      <c r="P81" s="538">
        <v>1</v>
      </c>
      <c r="Q81" s="537">
        <v>336123</v>
      </c>
      <c r="R81" s="537">
        <f t="shared" ref="R81" si="44">O81-Q81</f>
        <v>0</v>
      </c>
      <c r="S81" s="537"/>
      <c r="T81" s="539"/>
    </row>
    <row r="82" spans="1:30" ht="11.25" outlineLevel="5" x14ac:dyDescent="0.2">
      <c r="A82" s="1207">
        <v>45</v>
      </c>
      <c r="B82" s="1207"/>
      <c r="C82" s="1208" t="s">
        <v>905</v>
      </c>
      <c r="D82" s="1208"/>
      <c r="E82" s="1208"/>
      <c r="F82" s="540" t="s">
        <v>906</v>
      </c>
      <c r="G82" s="541" t="s">
        <v>815</v>
      </c>
      <c r="H82" s="542">
        <v>10</v>
      </c>
      <c r="I82" s="540" t="s">
        <v>769</v>
      </c>
      <c r="J82" s="541" t="s">
        <v>770</v>
      </c>
      <c r="K82" s="540" t="s">
        <v>771</v>
      </c>
      <c r="L82" s="543">
        <v>0.104</v>
      </c>
      <c r="M82" s="547">
        <v>1000</v>
      </c>
      <c r="N82" s="545">
        <v>36.83</v>
      </c>
      <c r="O82" s="537">
        <v>17589589</v>
      </c>
      <c r="P82" s="538">
        <v>1</v>
      </c>
      <c r="Q82" s="537">
        <v>6478041.8200000003</v>
      </c>
      <c r="R82" s="537">
        <v>11111547.18</v>
      </c>
      <c r="S82" s="537">
        <f>R82*$S$11</f>
        <v>61113.509490000004</v>
      </c>
      <c r="T82" s="537">
        <v>18335.89</v>
      </c>
      <c r="U82" s="537">
        <f>T82*3</f>
        <v>55007.67</v>
      </c>
      <c r="V82" s="546">
        <f>R82-U82</f>
        <v>11056539.51</v>
      </c>
      <c r="W82" s="546">
        <f>ROUND(V82*$W$11,0)</f>
        <v>60811</v>
      </c>
      <c r="X82" s="546">
        <f>V82-$U82</f>
        <v>11001531.84</v>
      </c>
      <c r="Y82" s="546">
        <f>ROUND(X82*$Y$11,0)</f>
        <v>60508</v>
      </c>
      <c r="Z82" s="546">
        <f>X82-$U82</f>
        <v>10946524.17</v>
      </c>
      <c r="AA82" s="546">
        <f>ROUND(Z82*$AA$11,0)</f>
        <v>60206</v>
      </c>
      <c r="AB82" s="546">
        <f>Z82-$U82</f>
        <v>10891516.5</v>
      </c>
      <c r="AC82" s="546">
        <f>ROUND(AB82*$AC$11,0)</f>
        <v>59903</v>
      </c>
      <c r="AD82" s="546">
        <f t="shared" ref="AD82" si="45">AB82-$U82</f>
        <v>10836508.83</v>
      </c>
    </row>
    <row r="83" spans="1:30" ht="11.25" hidden="1" outlineLevel="5" x14ac:dyDescent="0.2">
      <c r="A83" s="1207">
        <v>46</v>
      </c>
      <c r="B83" s="1207"/>
      <c r="C83" s="1208" t="s">
        <v>907</v>
      </c>
      <c r="D83" s="1208"/>
      <c r="E83" s="1208"/>
      <c r="F83" s="540" t="s">
        <v>908</v>
      </c>
      <c r="G83" s="541" t="s">
        <v>909</v>
      </c>
      <c r="H83" s="542">
        <v>6</v>
      </c>
      <c r="I83" s="540" t="s">
        <v>769</v>
      </c>
      <c r="J83" s="541" t="s">
        <v>770</v>
      </c>
      <c r="K83" s="540" t="s">
        <v>771</v>
      </c>
      <c r="L83" s="543">
        <v>0.55600000000000005</v>
      </c>
      <c r="M83" s="544">
        <v>180</v>
      </c>
      <c r="N83" s="545">
        <v>100</v>
      </c>
      <c r="O83" s="537">
        <v>188381.76</v>
      </c>
      <c r="P83" s="538">
        <v>1</v>
      </c>
      <c r="Q83" s="537">
        <v>188381.76</v>
      </c>
      <c r="R83" s="537">
        <f t="shared" ref="R83:R84" si="46">O83-Q83</f>
        <v>0</v>
      </c>
      <c r="S83" s="537"/>
      <c r="T83" s="539"/>
    </row>
    <row r="84" spans="1:30" ht="11.25" hidden="1" outlineLevel="5" x14ac:dyDescent="0.2">
      <c r="A84" s="1207">
        <v>47</v>
      </c>
      <c r="B84" s="1207"/>
      <c r="C84" s="1208" t="s">
        <v>910</v>
      </c>
      <c r="D84" s="1208"/>
      <c r="E84" s="1208"/>
      <c r="F84" s="540" t="s">
        <v>911</v>
      </c>
      <c r="G84" s="541" t="s">
        <v>912</v>
      </c>
      <c r="H84" s="542">
        <v>7</v>
      </c>
      <c r="I84" s="540" t="s">
        <v>769</v>
      </c>
      <c r="J84" s="541" t="s">
        <v>770</v>
      </c>
      <c r="K84" s="540" t="s">
        <v>771</v>
      </c>
      <c r="L84" s="543">
        <v>25.387</v>
      </c>
      <c r="M84" s="544">
        <v>240</v>
      </c>
      <c r="N84" s="545">
        <v>100</v>
      </c>
      <c r="O84" s="537">
        <v>117361</v>
      </c>
      <c r="P84" s="538">
        <v>1</v>
      </c>
      <c r="Q84" s="537">
        <v>117361</v>
      </c>
      <c r="R84" s="537">
        <f t="shared" si="46"/>
        <v>0</v>
      </c>
      <c r="S84" s="537"/>
      <c r="T84" s="539"/>
    </row>
    <row r="85" spans="1:30" ht="11.25" hidden="1" outlineLevel="3" x14ac:dyDescent="0.2">
      <c r="A85" s="1210" t="s">
        <v>913</v>
      </c>
      <c r="B85" s="1210"/>
      <c r="C85" s="1210"/>
      <c r="D85" s="1210"/>
      <c r="E85" s="1210"/>
      <c r="F85" s="1210"/>
      <c r="G85" s="1210"/>
      <c r="H85" s="1210"/>
      <c r="I85" s="1210"/>
      <c r="J85" s="1210"/>
      <c r="K85" s="1210"/>
      <c r="L85" s="1210"/>
      <c r="M85" s="1210"/>
      <c r="N85" s="1210"/>
      <c r="O85" s="537">
        <v>221722</v>
      </c>
      <c r="P85" s="538">
        <v>1</v>
      </c>
      <c r="Q85" s="537"/>
      <c r="R85" s="539"/>
      <c r="S85" s="539"/>
      <c r="T85" s="539"/>
    </row>
    <row r="86" spans="1:30" ht="11.25" hidden="1" outlineLevel="4" x14ac:dyDescent="0.2">
      <c r="A86" s="1211" t="s">
        <v>914</v>
      </c>
      <c r="B86" s="1211"/>
      <c r="C86" s="1211"/>
      <c r="D86" s="1211"/>
      <c r="E86" s="1211"/>
      <c r="F86" s="1211"/>
      <c r="G86" s="1211"/>
      <c r="H86" s="1211"/>
      <c r="I86" s="1211"/>
      <c r="J86" s="1211"/>
      <c r="K86" s="1211"/>
      <c r="L86" s="1211"/>
      <c r="M86" s="1211"/>
      <c r="N86" s="1211"/>
      <c r="O86" s="537">
        <v>221722</v>
      </c>
      <c r="P86" s="538">
        <v>1</v>
      </c>
      <c r="Q86" s="537"/>
      <c r="R86" s="539"/>
      <c r="S86" s="539"/>
      <c r="T86" s="539"/>
    </row>
    <row r="87" spans="1:30" ht="11.25" hidden="1" outlineLevel="5" x14ac:dyDescent="0.2">
      <c r="A87" s="1207">
        <v>48</v>
      </c>
      <c r="B87" s="1207"/>
      <c r="C87" s="1208" t="s">
        <v>915</v>
      </c>
      <c r="D87" s="1208"/>
      <c r="E87" s="1208"/>
      <c r="F87" s="540" t="s">
        <v>916</v>
      </c>
      <c r="G87" s="541" t="s">
        <v>873</v>
      </c>
      <c r="H87" s="542">
        <v>10</v>
      </c>
      <c r="I87" s="540" t="s">
        <v>769</v>
      </c>
      <c r="J87" s="541" t="s">
        <v>917</v>
      </c>
      <c r="K87" s="540" t="s">
        <v>771</v>
      </c>
      <c r="L87" s="543">
        <v>0.27800000000000002</v>
      </c>
      <c r="M87" s="544">
        <v>360</v>
      </c>
      <c r="N87" s="545">
        <v>100</v>
      </c>
      <c r="O87" s="537">
        <v>221722</v>
      </c>
      <c r="P87" s="538">
        <v>1</v>
      </c>
      <c r="Q87" s="537">
        <v>221722</v>
      </c>
      <c r="R87" s="537">
        <f t="shared" ref="R87" si="47">O87-Q87</f>
        <v>0</v>
      </c>
      <c r="S87" s="537"/>
      <c r="T87" s="539"/>
    </row>
    <row r="88" spans="1:30" ht="11.25" hidden="1" outlineLevel="3" x14ac:dyDescent="0.2">
      <c r="A88" s="1210" t="s">
        <v>918</v>
      </c>
      <c r="B88" s="1210"/>
      <c r="C88" s="1210"/>
      <c r="D88" s="1210"/>
      <c r="E88" s="1210"/>
      <c r="F88" s="1210"/>
      <c r="G88" s="1210"/>
      <c r="H88" s="1210"/>
      <c r="I88" s="1210"/>
      <c r="J88" s="1210"/>
      <c r="K88" s="1210"/>
      <c r="L88" s="1210"/>
      <c r="M88" s="1210"/>
      <c r="N88" s="1210"/>
      <c r="O88" s="537">
        <v>931340.23</v>
      </c>
      <c r="P88" s="538">
        <v>2</v>
      </c>
      <c r="Q88" s="537"/>
      <c r="R88" s="539"/>
      <c r="S88" s="539"/>
      <c r="T88" s="539"/>
    </row>
    <row r="89" spans="1:30" ht="11.25" hidden="1" outlineLevel="4" x14ac:dyDescent="0.2">
      <c r="A89" s="1211" t="s">
        <v>919</v>
      </c>
      <c r="B89" s="1211"/>
      <c r="C89" s="1211"/>
      <c r="D89" s="1211"/>
      <c r="E89" s="1211"/>
      <c r="F89" s="1211"/>
      <c r="G89" s="1211"/>
      <c r="H89" s="1211"/>
      <c r="I89" s="1211"/>
      <c r="J89" s="1211"/>
      <c r="K89" s="1211"/>
      <c r="L89" s="1211"/>
      <c r="M89" s="1211"/>
      <c r="N89" s="1211"/>
      <c r="O89" s="537">
        <v>931340.23</v>
      </c>
      <c r="P89" s="538">
        <v>2</v>
      </c>
      <c r="Q89" s="537"/>
      <c r="R89" s="539"/>
      <c r="S89" s="539"/>
      <c r="T89" s="539"/>
    </row>
    <row r="90" spans="1:30" ht="11.25" hidden="1" outlineLevel="5" x14ac:dyDescent="0.2">
      <c r="A90" s="1207">
        <v>49</v>
      </c>
      <c r="B90" s="1207"/>
      <c r="C90" s="1208" t="s">
        <v>920</v>
      </c>
      <c r="D90" s="1208"/>
      <c r="E90" s="1208"/>
      <c r="F90" s="540" t="s">
        <v>921</v>
      </c>
      <c r="G90" s="541" t="s">
        <v>791</v>
      </c>
      <c r="H90" s="542">
        <v>7</v>
      </c>
      <c r="I90" s="540" t="s">
        <v>809</v>
      </c>
      <c r="J90" s="541" t="s">
        <v>922</v>
      </c>
      <c r="K90" s="540" t="s">
        <v>771</v>
      </c>
      <c r="L90" s="543">
        <v>0.41699999999999998</v>
      </c>
      <c r="M90" s="544">
        <v>240</v>
      </c>
      <c r="N90" s="545">
        <v>100</v>
      </c>
      <c r="O90" s="537">
        <v>15811</v>
      </c>
      <c r="P90" s="538">
        <v>1</v>
      </c>
      <c r="Q90" s="537">
        <v>15811</v>
      </c>
      <c r="R90" s="537">
        <f t="shared" ref="R90:R91" si="48">O90-Q90</f>
        <v>0</v>
      </c>
      <c r="S90" s="537"/>
      <c r="T90" s="539"/>
    </row>
    <row r="91" spans="1:30" ht="11.25" hidden="1" outlineLevel="5" x14ac:dyDescent="0.2">
      <c r="A91" s="1207">
        <v>50</v>
      </c>
      <c r="B91" s="1207"/>
      <c r="C91" s="1208" t="s">
        <v>923</v>
      </c>
      <c r="D91" s="1208"/>
      <c r="E91" s="1208"/>
      <c r="F91" s="540" t="s">
        <v>924</v>
      </c>
      <c r="G91" s="541" t="s">
        <v>768</v>
      </c>
      <c r="H91" s="542">
        <v>9</v>
      </c>
      <c r="I91" s="540" t="s">
        <v>769</v>
      </c>
      <c r="J91" s="541" t="s">
        <v>925</v>
      </c>
      <c r="K91" s="540" t="s">
        <v>771</v>
      </c>
      <c r="L91" s="543">
        <v>0.27800000000000002</v>
      </c>
      <c r="M91" s="544">
        <v>360</v>
      </c>
      <c r="N91" s="545">
        <v>100</v>
      </c>
      <c r="O91" s="537">
        <v>915529.23</v>
      </c>
      <c r="P91" s="538">
        <v>1</v>
      </c>
      <c r="Q91" s="537">
        <v>915529.23</v>
      </c>
      <c r="R91" s="537">
        <f t="shared" si="48"/>
        <v>0</v>
      </c>
      <c r="S91" s="537"/>
      <c r="T91" s="539"/>
    </row>
    <row r="92" spans="1:30" ht="11.25" hidden="1" outlineLevel="3" x14ac:dyDescent="0.2">
      <c r="A92" s="1210" t="s">
        <v>926</v>
      </c>
      <c r="B92" s="1210"/>
      <c r="C92" s="1210"/>
      <c r="D92" s="1210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537">
        <v>561186</v>
      </c>
      <c r="P92" s="538">
        <v>2</v>
      </c>
      <c r="Q92" s="537"/>
      <c r="R92" s="539"/>
      <c r="S92" s="539"/>
      <c r="T92" s="539"/>
    </row>
    <row r="93" spans="1:30" ht="11.25" hidden="1" outlineLevel="4" x14ac:dyDescent="0.2">
      <c r="A93" s="1211" t="s">
        <v>927</v>
      </c>
      <c r="B93" s="1211"/>
      <c r="C93" s="1211"/>
      <c r="D93" s="1211"/>
      <c r="E93" s="1211"/>
      <c r="F93" s="1211"/>
      <c r="G93" s="1211"/>
      <c r="H93" s="1211"/>
      <c r="I93" s="1211"/>
      <c r="J93" s="1211"/>
      <c r="K93" s="1211"/>
      <c r="L93" s="1211"/>
      <c r="M93" s="1211"/>
      <c r="N93" s="1211"/>
      <c r="O93" s="537">
        <v>561186</v>
      </c>
      <c r="P93" s="538">
        <v>2</v>
      </c>
      <c r="Q93" s="537"/>
      <c r="R93" s="539"/>
      <c r="S93" s="539"/>
      <c r="T93" s="539"/>
    </row>
    <row r="94" spans="1:30" ht="11.25" hidden="1" outlineLevel="5" x14ac:dyDescent="0.2">
      <c r="A94" s="1207">
        <v>51</v>
      </c>
      <c r="B94" s="1207"/>
      <c r="C94" s="1208" t="s">
        <v>923</v>
      </c>
      <c r="D94" s="1208"/>
      <c r="E94" s="1208"/>
      <c r="F94" s="540" t="s">
        <v>928</v>
      </c>
      <c r="G94" s="541" t="s">
        <v>815</v>
      </c>
      <c r="H94" s="542">
        <v>10</v>
      </c>
      <c r="I94" s="540" t="s">
        <v>769</v>
      </c>
      <c r="J94" s="541" t="s">
        <v>929</v>
      </c>
      <c r="K94" s="540" t="s">
        <v>771</v>
      </c>
      <c r="L94" s="543">
        <v>0.98</v>
      </c>
      <c r="M94" s="544">
        <v>102</v>
      </c>
      <c r="N94" s="545">
        <v>100</v>
      </c>
      <c r="O94" s="537">
        <v>282523</v>
      </c>
      <c r="P94" s="538">
        <v>1</v>
      </c>
      <c r="Q94" s="537">
        <v>282523</v>
      </c>
      <c r="R94" s="537">
        <f t="shared" ref="R94:R95" si="49">O94-Q94</f>
        <v>0</v>
      </c>
      <c r="S94" s="537"/>
      <c r="T94" s="539"/>
    </row>
    <row r="95" spans="1:30" ht="11.25" hidden="1" outlineLevel="5" x14ac:dyDescent="0.2">
      <c r="A95" s="1207">
        <v>52</v>
      </c>
      <c r="B95" s="1207"/>
      <c r="C95" s="1208" t="s">
        <v>930</v>
      </c>
      <c r="D95" s="1208"/>
      <c r="E95" s="1208"/>
      <c r="F95" s="540" t="s">
        <v>931</v>
      </c>
      <c r="G95" s="541" t="s">
        <v>815</v>
      </c>
      <c r="H95" s="542">
        <v>7</v>
      </c>
      <c r="I95" s="540" t="s">
        <v>769</v>
      </c>
      <c r="J95" s="541" t="s">
        <v>932</v>
      </c>
      <c r="K95" s="540" t="s">
        <v>771</v>
      </c>
      <c r="L95" s="543">
        <v>0.41699999999999998</v>
      </c>
      <c r="M95" s="544">
        <v>240</v>
      </c>
      <c r="N95" s="545">
        <v>100</v>
      </c>
      <c r="O95" s="537">
        <v>278663</v>
      </c>
      <c r="P95" s="538">
        <v>1</v>
      </c>
      <c r="Q95" s="537">
        <v>278663</v>
      </c>
      <c r="R95" s="537">
        <f t="shared" si="49"/>
        <v>0</v>
      </c>
      <c r="S95" s="537"/>
      <c r="T95" s="539"/>
    </row>
    <row r="96" spans="1:30" ht="11.25" hidden="1" outlineLevel="3" x14ac:dyDescent="0.2">
      <c r="A96" s="1210" t="s">
        <v>933</v>
      </c>
      <c r="B96" s="1210"/>
      <c r="C96" s="1210"/>
      <c r="D96" s="1210"/>
      <c r="E96" s="1210"/>
      <c r="F96" s="1210"/>
      <c r="G96" s="1210"/>
      <c r="H96" s="1210"/>
      <c r="I96" s="1210"/>
      <c r="J96" s="1210"/>
      <c r="K96" s="1210"/>
      <c r="L96" s="1210"/>
      <c r="M96" s="1210"/>
      <c r="N96" s="1210"/>
      <c r="O96" s="537">
        <v>5735087</v>
      </c>
      <c r="P96" s="538">
        <v>1</v>
      </c>
      <c r="Q96" s="537"/>
      <c r="R96" s="537"/>
      <c r="S96" s="537"/>
      <c r="T96" s="537"/>
    </row>
    <row r="97" spans="1:30" ht="11.25" hidden="1" outlineLevel="4" x14ac:dyDescent="0.2">
      <c r="A97" s="1211" t="s">
        <v>934</v>
      </c>
      <c r="B97" s="1211"/>
      <c r="C97" s="1211"/>
      <c r="D97" s="1211"/>
      <c r="E97" s="1211"/>
      <c r="F97" s="1211"/>
      <c r="G97" s="1211"/>
      <c r="H97" s="1211"/>
      <c r="I97" s="1211"/>
      <c r="J97" s="1211"/>
      <c r="K97" s="1211"/>
      <c r="L97" s="1211"/>
      <c r="M97" s="1211"/>
      <c r="N97" s="1211"/>
      <c r="O97" s="537">
        <v>5735087</v>
      </c>
      <c r="P97" s="538">
        <v>1</v>
      </c>
      <c r="Q97" s="537"/>
      <c r="R97" s="537"/>
      <c r="S97" s="537"/>
      <c r="T97" s="537"/>
    </row>
    <row r="98" spans="1:30" ht="11.25" outlineLevel="5" x14ac:dyDescent="0.2">
      <c r="A98" s="1207">
        <v>53</v>
      </c>
      <c r="B98" s="1207"/>
      <c r="C98" s="1208" t="s">
        <v>935</v>
      </c>
      <c r="D98" s="1208"/>
      <c r="E98" s="1208"/>
      <c r="F98" s="540" t="s">
        <v>936</v>
      </c>
      <c r="G98" s="541" t="s">
        <v>774</v>
      </c>
      <c r="H98" s="542">
        <v>8</v>
      </c>
      <c r="I98" s="540" t="s">
        <v>769</v>
      </c>
      <c r="J98" s="541" t="s">
        <v>770</v>
      </c>
      <c r="K98" s="540" t="s">
        <v>771</v>
      </c>
      <c r="L98" s="543">
        <v>0.41699999999999998</v>
      </c>
      <c r="M98" s="544">
        <v>240</v>
      </c>
      <c r="N98" s="545">
        <v>66.209999999999994</v>
      </c>
      <c r="O98" s="537">
        <v>5735087</v>
      </c>
      <c r="P98" s="538">
        <v>1</v>
      </c>
      <c r="Q98" s="537">
        <v>3796971.89</v>
      </c>
      <c r="R98" s="537">
        <v>1938115.11</v>
      </c>
      <c r="S98" s="537">
        <f>R98*$S$11</f>
        <v>10659.633105000001</v>
      </c>
      <c r="T98" s="537">
        <v>23896.2</v>
      </c>
      <c r="U98" s="537">
        <f>T98*3</f>
        <v>71688.600000000006</v>
      </c>
      <c r="V98" s="546">
        <f>R98-U98</f>
        <v>1866426.51</v>
      </c>
      <c r="W98" s="546">
        <f>ROUND(V98*$W$11,0)</f>
        <v>10265</v>
      </c>
      <c r="X98" s="546">
        <f>V98-$U98</f>
        <v>1794737.91</v>
      </c>
      <c r="Y98" s="546">
        <f>ROUND(X98*$Y$11,0)</f>
        <v>9871</v>
      </c>
      <c r="Z98" s="546">
        <f>X98-$U98</f>
        <v>1723049.3099999998</v>
      </c>
      <c r="AA98" s="546">
        <f>ROUND(Z98*$AA$11,0)</f>
        <v>9477</v>
      </c>
      <c r="AB98" s="546">
        <f>Z98-$U98</f>
        <v>1651360.7099999997</v>
      </c>
      <c r="AC98" s="546">
        <f>ROUND(AB98*$AC$11,0)</f>
        <v>9082</v>
      </c>
      <c r="AD98" s="546">
        <f t="shared" ref="AD98" si="50">AB98-$U98</f>
        <v>1579672.1099999996</v>
      </c>
    </row>
    <row r="99" spans="1:30" ht="12.95" customHeight="1" x14ac:dyDescent="0.2">
      <c r="A99" s="1209" t="s">
        <v>937</v>
      </c>
      <c r="B99" s="1209"/>
      <c r="C99" s="1209"/>
      <c r="D99" s="1209"/>
      <c r="E99" s="1209"/>
      <c r="F99" s="1209"/>
      <c r="G99" s="1209"/>
      <c r="H99" s="1209"/>
      <c r="I99" s="1209"/>
      <c r="J99" s="1209"/>
      <c r="K99" s="1209"/>
      <c r="L99" s="1209"/>
      <c r="M99" s="1209"/>
      <c r="N99" s="1209"/>
      <c r="O99" s="548">
        <v>61274785.340000004</v>
      </c>
      <c r="P99" s="549">
        <v>53</v>
      </c>
      <c r="Q99" s="548">
        <v>35419921.130000003</v>
      </c>
      <c r="R99" s="548">
        <v>25854864.210000001</v>
      </c>
      <c r="S99" s="548"/>
      <c r="T99" s="548"/>
      <c r="U99" s="548"/>
      <c r="V99" s="548"/>
      <c r="W99" s="548"/>
      <c r="X99" s="548"/>
      <c r="Y99" s="548"/>
      <c r="Z99" s="548"/>
      <c r="AA99" s="548"/>
      <c r="AB99" s="548"/>
      <c r="AC99" s="548"/>
      <c r="AD99" s="548"/>
    </row>
    <row r="100" spans="1:30" ht="11.45" hidden="1" customHeight="1" x14ac:dyDescent="0.2">
      <c r="R100" s="550">
        <f>R99-R101</f>
        <v>0</v>
      </c>
      <c r="S100" s="550"/>
    </row>
    <row r="101" spans="1:30" ht="11.45" customHeight="1" x14ac:dyDescent="0.2">
      <c r="R101" s="551">
        <f>O99-Q99</f>
        <v>25854864.210000001</v>
      </c>
      <c r="S101" s="550"/>
    </row>
    <row r="103" spans="1:30" ht="11.45" customHeight="1" x14ac:dyDescent="0.2">
      <c r="AC103" s="546">
        <f>AC13+AA13+Y13+W13</f>
        <v>557225</v>
      </c>
    </row>
    <row r="105" spans="1:30" ht="11.45" customHeight="1" x14ac:dyDescent="0.2">
      <c r="AB105" s="546">
        <f>ROUND(AC103*AC105,0)</f>
        <v>365540</v>
      </c>
      <c r="AC105" s="892">
        <v>0.65600000000000003</v>
      </c>
    </row>
    <row r="106" spans="1:30" ht="11.45" customHeight="1" x14ac:dyDescent="0.2">
      <c r="AB106" s="546">
        <f>ROUND(AC103*AC106,0)</f>
        <v>191685</v>
      </c>
      <c r="AC106" s="892">
        <v>0.34399999999999997</v>
      </c>
    </row>
    <row r="108" spans="1:30" ht="11.45" customHeight="1" x14ac:dyDescent="0.2">
      <c r="AB108" s="546">
        <f>SUBTOTAL(9,AB105:AB107)</f>
        <v>557225</v>
      </c>
    </row>
    <row r="109" spans="1:30" ht="11.45" customHeight="1" x14ac:dyDescent="0.2">
      <c r="AB109" s="546">
        <f>AB108-AC103</f>
        <v>0</v>
      </c>
    </row>
  </sheetData>
  <autoFilter ref="A11:T101">
    <filterColumn colId="17">
      <filters>
        <filter val="1 938 115,11"/>
        <filter val="11 111 547,18"/>
        <filter val="167 527,55"/>
        <filter val="25 358,93"/>
        <filter val="25 854 864,21"/>
        <filter val="275 373,96"/>
        <filter val="286 555,14"/>
        <filter val="3 221 967,15"/>
        <filter val="337 235,65"/>
        <filter val="435 374,97"/>
        <filter val="481 180,72"/>
        <filter val="6 697 373,64"/>
        <filter val="877 254,21"/>
      </filters>
    </filterColumn>
  </autoFilter>
  <mergeCells count="154">
    <mergeCell ref="T5:T10"/>
    <mergeCell ref="A6:N6"/>
    <mergeCell ref="A7:N7"/>
    <mergeCell ref="A8:N8"/>
    <mergeCell ref="A9:N9"/>
    <mergeCell ref="A10:B10"/>
    <mergeCell ref="C10:E10"/>
    <mergeCell ref="A2:G2"/>
    <mergeCell ref="A5:N5"/>
    <mergeCell ref="O5:O10"/>
    <mergeCell ref="P5:P10"/>
    <mergeCell ref="Q5:Q10"/>
    <mergeCell ref="R5:R10"/>
    <mergeCell ref="A17:B17"/>
    <mergeCell ref="C17:E17"/>
    <mergeCell ref="A18:B18"/>
    <mergeCell ref="C18:E18"/>
    <mergeCell ref="A19:B19"/>
    <mergeCell ref="C19:E19"/>
    <mergeCell ref="A12:N12"/>
    <mergeCell ref="A13:N13"/>
    <mergeCell ref="A14:N14"/>
    <mergeCell ref="A15:N15"/>
    <mergeCell ref="A16:B16"/>
    <mergeCell ref="C16:E16"/>
    <mergeCell ref="A24:N24"/>
    <mergeCell ref="A25:N25"/>
    <mergeCell ref="A26:B26"/>
    <mergeCell ref="C26:E26"/>
    <mergeCell ref="A27:B27"/>
    <mergeCell ref="C27:E27"/>
    <mergeCell ref="A20:B20"/>
    <mergeCell ref="C20:E20"/>
    <mergeCell ref="A21:N21"/>
    <mergeCell ref="A22:N22"/>
    <mergeCell ref="A23:B23"/>
    <mergeCell ref="C23:E23"/>
    <mergeCell ref="A32:B32"/>
    <mergeCell ref="C32:E32"/>
    <mergeCell ref="A33:B33"/>
    <mergeCell ref="C33:E33"/>
    <mergeCell ref="A34:N34"/>
    <mergeCell ref="A35:N35"/>
    <mergeCell ref="A28:N28"/>
    <mergeCell ref="A29:N29"/>
    <mergeCell ref="A30:B30"/>
    <mergeCell ref="C30:E30"/>
    <mergeCell ref="A31:B31"/>
    <mergeCell ref="C31:E31"/>
    <mergeCell ref="A40:N40"/>
    <mergeCell ref="A41:N41"/>
    <mergeCell ref="A42:B42"/>
    <mergeCell ref="C42:E42"/>
    <mergeCell ref="A43:B43"/>
    <mergeCell ref="C43:E43"/>
    <mergeCell ref="A36:B36"/>
    <mergeCell ref="C36:E36"/>
    <mergeCell ref="A37:N37"/>
    <mergeCell ref="A38:N38"/>
    <mergeCell ref="A39:B39"/>
    <mergeCell ref="C39:E39"/>
    <mergeCell ref="A48:B48"/>
    <mergeCell ref="C48:E48"/>
    <mergeCell ref="A49:N49"/>
    <mergeCell ref="A50:N50"/>
    <mergeCell ref="A51:B51"/>
    <mergeCell ref="C51:E51"/>
    <mergeCell ref="A44:N44"/>
    <mergeCell ref="A45:N45"/>
    <mergeCell ref="A46:B46"/>
    <mergeCell ref="C46:E46"/>
    <mergeCell ref="A47:B47"/>
    <mergeCell ref="C47:E47"/>
    <mergeCell ref="A56:B56"/>
    <mergeCell ref="C56:E56"/>
    <mergeCell ref="A57:B57"/>
    <mergeCell ref="C57:E57"/>
    <mergeCell ref="A58:N58"/>
    <mergeCell ref="A59:N59"/>
    <mergeCell ref="A52:B52"/>
    <mergeCell ref="C52:E52"/>
    <mergeCell ref="A53:N53"/>
    <mergeCell ref="A54:N54"/>
    <mergeCell ref="A55:B55"/>
    <mergeCell ref="C55:E55"/>
    <mergeCell ref="A63:B63"/>
    <mergeCell ref="C63:E63"/>
    <mergeCell ref="A64:N64"/>
    <mergeCell ref="A65:N65"/>
    <mergeCell ref="A66:B66"/>
    <mergeCell ref="C66:E66"/>
    <mergeCell ref="A60:B60"/>
    <mergeCell ref="C60:E60"/>
    <mergeCell ref="A61:B61"/>
    <mergeCell ref="C61:E61"/>
    <mergeCell ref="A62:B62"/>
    <mergeCell ref="C62:E62"/>
    <mergeCell ref="A70:B70"/>
    <mergeCell ref="C70:E70"/>
    <mergeCell ref="A71:B71"/>
    <mergeCell ref="C71:E71"/>
    <mergeCell ref="A72:B72"/>
    <mergeCell ref="C72:E72"/>
    <mergeCell ref="A67:B67"/>
    <mergeCell ref="C67:E67"/>
    <mergeCell ref="A68:B68"/>
    <mergeCell ref="C68:E68"/>
    <mergeCell ref="A69:B69"/>
    <mergeCell ref="C69:E69"/>
    <mergeCell ref="A76:B76"/>
    <mergeCell ref="C76:E76"/>
    <mergeCell ref="A77:B77"/>
    <mergeCell ref="C77:E77"/>
    <mergeCell ref="A78:B78"/>
    <mergeCell ref="C78:E78"/>
    <mergeCell ref="A73:B73"/>
    <mergeCell ref="C73:E73"/>
    <mergeCell ref="A74:B74"/>
    <mergeCell ref="C74:E74"/>
    <mergeCell ref="A75:B75"/>
    <mergeCell ref="C75:E75"/>
    <mergeCell ref="A82:B82"/>
    <mergeCell ref="C82:E82"/>
    <mergeCell ref="A83:B83"/>
    <mergeCell ref="C83:E83"/>
    <mergeCell ref="A84:B84"/>
    <mergeCell ref="C84:E84"/>
    <mergeCell ref="A79:B79"/>
    <mergeCell ref="C79:E79"/>
    <mergeCell ref="A80:B80"/>
    <mergeCell ref="C80:E80"/>
    <mergeCell ref="A81:B81"/>
    <mergeCell ref="C81:E81"/>
    <mergeCell ref="A90:B90"/>
    <mergeCell ref="C90:E90"/>
    <mergeCell ref="A91:B91"/>
    <mergeCell ref="C91:E91"/>
    <mergeCell ref="A92:N92"/>
    <mergeCell ref="A93:N93"/>
    <mergeCell ref="A85:N85"/>
    <mergeCell ref="A86:N86"/>
    <mergeCell ref="A87:B87"/>
    <mergeCell ref="C87:E87"/>
    <mergeCell ref="A88:N88"/>
    <mergeCell ref="A89:N89"/>
    <mergeCell ref="A98:B98"/>
    <mergeCell ref="C98:E98"/>
    <mergeCell ref="A99:N99"/>
    <mergeCell ref="A94:B94"/>
    <mergeCell ref="C94:E94"/>
    <mergeCell ref="A95:B95"/>
    <mergeCell ref="C95:E95"/>
    <mergeCell ref="A96:N96"/>
    <mergeCell ref="A97:N97"/>
  </mergeCells>
  <pageMargins left="0.75" right="1" top="0.75" bottom="1" header="0.5" footer="0.5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39"/>
  <sheetViews>
    <sheetView topLeftCell="A13" zoomScaleNormal="100" workbookViewId="0">
      <pane xSplit="8" ySplit="6" topLeftCell="W30" activePane="bottomRight" state="frozen"/>
      <selection activeCell="C6" sqref="C6"/>
      <selection pane="topRight" activeCell="C6" sqref="C6"/>
      <selection pane="bottomLeft" activeCell="C6" sqref="C6"/>
      <selection pane="bottomRight" activeCell="Y44" sqref="Y44"/>
    </sheetView>
  </sheetViews>
  <sheetFormatPr defaultRowHeight="15" outlineLevelRow="1" x14ac:dyDescent="0.25"/>
  <cols>
    <col min="1" max="1" width="25.7109375" style="640" customWidth="1"/>
    <col min="2" max="2" width="19.85546875" style="640" hidden="1" customWidth="1"/>
    <col min="3" max="3" width="24.7109375" style="640" customWidth="1"/>
    <col min="4" max="4" width="9.85546875" style="640" customWidth="1"/>
    <col min="5" max="5" width="9.140625" style="640" hidden="1" customWidth="1"/>
    <col min="6" max="6" width="9.140625" style="640" customWidth="1"/>
    <col min="7" max="8" width="18.5703125" style="640" customWidth="1"/>
    <col min="9" max="9" width="9.85546875" style="640" hidden="1" customWidth="1"/>
    <col min="10" max="10" width="15.7109375" style="640" hidden="1" customWidth="1"/>
    <col min="11" max="11" width="7.85546875" style="640" hidden="1" customWidth="1"/>
    <col min="12" max="12" width="16.85546875" style="640" hidden="1" customWidth="1"/>
    <col min="13" max="13" width="3.28515625" style="640" hidden="1" customWidth="1"/>
    <col min="14" max="14" width="17.42578125" style="640" hidden="1" customWidth="1"/>
    <col min="15" max="15" width="3.28515625" style="640" hidden="1" customWidth="1"/>
    <col min="16" max="16" width="15.42578125" style="640" hidden="1" customWidth="1"/>
    <col min="17" max="17" width="3.28515625" style="640" hidden="1" customWidth="1"/>
    <col min="18" max="18" width="16.7109375" style="640" hidden="1" customWidth="1"/>
    <col min="19" max="19" width="3.28515625" style="640" hidden="1" customWidth="1"/>
    <col min="20" max="20" width="18.5703125" style="640" hidden="1" customWidth="1"/>
    <col min="21" max="21" width="19.5703125" style="641" hidden="1" customWidth="1"/>
    <col min="22" max="22" width="16.7109375" style="640" hidden="1" customWidth="1"/>
    <col min="23" max="23" width="19.5703125" style="812" customWidth="1"/>
    <col min="24" max="24" width="13.85546875" style="643" customWidth="1"/>
    <col min="25" max="25" width="17" style="640" customWidth="1"/>
    <col min="26" max="26" width="22.7109375" style="640" customWidth="1"/>
    <col min="27" max="27" width="10.140625" style="640" bestFit="1" customWidth="1"/>
    <col min="28" max="28" width="11.28515625" style="640" bestFit="1" customWidth="1"/>
    <col min="29" max="254" width="9.140625" style="640"/>
    <col min="255" max="255" width="25.7109375" style="640" customWidth="1"/>
    <col min="256" max="256" width="24.7109375" style="640" customWidth="1"/>
    <col min="257" max="258" width="9.140625" style="640"/>
    <col min="259" max="259" width="17" style="640" customWidth="1"/>
    <col min="260" max="260" width="10.5703125" style="640" customWidth="1"/>
    <col min="261" max="261" width="14" style="640" customWidth="1"/>
    <col min="262" max="262" width="10" style="640" customWidth="1"/>
    <col min="263" max="263" width="14.5703125" style="640" customWidth="1"/>
    <col min="264" max="264" width="6.140625" style="640" customWidth="1"/>
    <col min="265" max="265" width="15.28515625" style="640" customWidth="1"/>
    <col min="266" max="271" width="0" style="640" hidden="1" customWidth="1"/>
    <col min="272" max="272" width="17.7109375" style="640" customWidth="1"/>
    <col min="273" max="273" width="14.5703125" style="640" customWidth="1"/>
    <col min="274" max="274" width="16.5703125" style="640" customWidth="1"/>
    <col min="275" max="275" width="17" style="640" customWidth="1"/>
    <col min="276" max="510" width="9.140625" style="640"/>
    <col min="511" max="511" width="25.7109375" style="640" customWidth="1"/>
    <col min="512" max="512" width="24.7109375" style="640" customWidth="1"/>
    <col min="513" max="514" width="9.140625" style="640"/>
    <col min="515" max="515" width="17" style="640" customWidth="1"/>
    <col min="516" max="516" width="10.5703125" style="640" customWidth="1"/>
    <col min="517" max="517" width="14" style="640" customWidth="1"/>
    <col min="518" max="518" width="10" style="640" customWidth="1"/>
    <col min="519" max="519" width="14.5703125" style="640" customWidth="1"/>
    <col min="520" max="520" width="6.140625" style="640" customWidth="1"/>
    <col min="521" max="521" width="15.28515625" style="640" customWidth="1"/>
    <col min="522" max="527" width="0" style="640" hidden="1" customWidth="1"/>
    <col min="528" max="528" width="17.7109375" style="640" customWidth="1"/>
    <col min="529" max="529" width="14.5703125" style="640" customWidth="1"/>
    <col min="530" max="530" width="16.5703125" style="640" customWidth="1"/>
    <col min="531" max="531" width="17" style="640" customWidth="1"/>
    <col min="532" max="766" width="9.140625" style="640"/>
    <col min="767" max="767" width="25.7109375" style="640" customWidth="1"/>
    <col min="768" max="768" width="24.7109375" style="640" customWidth="1"/>
    <col min="769" max="770" width="9.140625" style="640"/>
    <col min="771" max="771" width="17" style="640" customWidth="1"/>
    <col min="772" max="772" width="10.5703125" style="640" customWidth="1"/>
    <col min="773" max="773" width="14" style="640" customWidth="1"/>
    <col min="774" max="774" width="10" style="640" customWidth="1"/>
    <col min="775" max="775" width="14.5703125" style="640" customWidth="1"/>
    <col min="776" max="776" width="6.140625" style="640" customWidth="1"/>
    <col min="777" max="777" width="15.28515625" style="640" customWidth="1"/>
    <col min="778" max="783" width="0" style="640" hidden="1" customWidth="1"/>
    <col min="784" max="784" width="17.7109375" style="640" customWidth="1"/>
    <col min="785" max="785" width="14.5703125" style="640" customWidth="1"/>
    <col min="786" max="786" width="16.5703125" style="640" customWidth="1"/>
    <col min="787" max="787" width="17" style="640" customWidth="1"/>
    <col min="788" max="1022" width="9.140625" style="640"/>
    <col min="1023" max="1023" width="25.7109375" style="640" customWidth="1"/>
    <col min="1024" max="1024" width="24.7109375" style="640" customWidth="1"/>
    <col min="1025" max="1026" width="9.140625" style="640"/>
    <col min="1027" max="1027" width="17" style="640" customWidth="1"/>
    <col min="1028" max="1028" width="10.5703125" style="640" customWidth="1"/>
    <col min="1029" max="1029" width="14" style="640" customWidth="1"/>
    <col min="1030" max="1030" width="10" style="640" customWidth="1"/>
    <col min="1031" max="1031" width="14.5703125" style="640" customWidth="1"/>
    <col min="1032" max="1032" width="6.140625" style="640" customWidth="1"/>
    <col min="1033" max="1033" width="15.28515625" style="640" customWidth="1"/>
    <col min="1034" max="1039" width="0" style="640" hidden="1" customWidth="1"/>
    <col min="1040" max="1040" width="17.7109375" style="640" customWidth="1"/>
    <col min="1041" max="1041" width="14.5703125" style="640" customWidth="1"/>
    <col min="1042" max="1042" width="16.5703125" style="640" customWidth="1"/>
    <col min="1043" max="1043" width="17" style="640" customWidth="1"/>
    <col min="1044" max="1278" width="9.140625" style="640"/>
    <col min="1279" max="1279" width="25.7109375" style="640" customWidth="1"/>
    <col min="1280" max="1280" width="24.7109375" style="640" customWidth="1"/>
    <col min="1281" max="1282" width="9.140625" style="640"/>
    <col min="1283" max="1283" width="17" style="640" customWidth="1"/>
    <col min="1284" max="1284" width="10.5703125" style="640" customWidth="1"/>
    <col min="1285" max="1285" width="14" style="640" customWidth="1"/>
    <col min="1286" max="1286" width="10" style="640" customWidth="1"/>
    <col min="1287" max="1287" width="14.5703125" style="640" customWidth="1"/>
    <col min="1288" max="1288" width="6.140625" style="640" customWidth="1"/>
    <col min="1289" max="1289" width="15.28515625" style="640" customWidth="1"/>
    <col min="1290" max="1295" width="0" style="640" hidden="1" customWidth="1"/>
    <col min="1296" max="1296" width="17.7109375" style="640" customWidth="1"/>
    <col min="1297" max="1297" width="14.5703125" style="640" customWidth="1"/>
    <col min="1298" max="1298" width="16.5703125" style="640" customWidth="1"/>
    <col min="1299" max="1299" width="17" style="640" customWidth="1"/>
    <col min="1300" max="1534" width="9.140625" style="640"/>
    <col min="1535" max="1535" width="25.7109375" style="640" customWidth="1"/>
    <col min="1536" max="1536" width="24.7109375" style="640" customWidth="1"/>
    <col min="1537" max="1538" width="9.140625" style="640"/>
    <col min="1539" max="1539" width="17" style="640" customWidth="1"/>
    <col min="1540" max="1540" width="10.5703125" style="640" customWidth="1"/>
    <col min="1541" max="1541" width="14" style="640" customWidth="1"/>
    <col min="1542" max="1542" width="10" style="640" customWidth="1"/>
    <col min="1543" max="1543" width="14.5703125" style="640" customWidth="1"/>
    <col min="1544" max="1544" width="6.140625" style="640" customWidth="1"/>
    <col min="1545" max="1545" width="15.28515625" style="640" customWidth="1"/>
    <col min="1546" max="1551" width="0" style="640" hidden="1" customWidth="1"/>
    <col min="1552" max="1552" width="17.7109375" style="640" customWidth="1"/>
    <col min="1553" max="1553" width="14.5703125" style="640" customWidth="1"/>
    <col min="1554" max="1554" width="16.5703125" style="640" customWidth="1"/>
    <col min="1555" max="1555" width="17" style="640" customWidth="1"/>
    <col min="1556" max="1790" width="9.140625" style="640"/>
    <col min="1791" max="1791" width="25.7109375" style="640" customWidth="1"/>
    <col min="1792" max="1792" width="24.7109375" style="640" customWidth="1"/>
    <col min="1793" max="1794" width="9.140625" style="640"/>
    <col min="1795" max="1795" width="17" style="640" customWidth="1"/>
    <col min="1796" max="1796" width="10.5703125" style="640" customWidth="1"/>
    <col min="1797" max="1797" width="14" style="640" customWidth="1"/>
    <col min="1798" max="1798" width="10" style="640" customWidth="1"/>
    <col min="1799" max="1799" width="14.5703125" style="640" customWidth="1"/>
    <col min="1800" max="1800" width="6.140625" style="640" customWidth="1"/>
    <col min="1801" max="1801" width="15.28515625" style="640" customWidth="1"/>
    <col min="1802" max="1807" width="0" style="640" hidden="1" customWidth="1"/>
    <col min="1808" max="1808" width="17.7109375" style="640" customWidth="1"/>
    <col min="1809" max="1809" width="14.5703125" style="640" customWidth="1"/>
    <col min="1810" max="1810" width="16.5703125" style="640" customWidth="1"/>
    <col min="1811" max="1811" width="17" style="640" customWidth="1"/>
    <col min="1812" max="2046" width="9.140625" style="640"/>
    <col min="2047" max="2047" width="25.7109375" style="640" customWidth="1"/>
    <col min="2048" max="2048" width="24.7109375" style="640" customWidth="1"/>
    <col min="2049" max="2050" width="9.140625" style="640"/>
    <col min="2051" max="2051" width="17" style="640" customWidth="1"/>
    <col min="2052" max="2052" width="10.5703125" style="640" customWidth="1"/>
    <col min="2053" max="2053" width="14" style="640" customWidth="1"/>
    <col min="2054" max="2054" width="10" style="640" customWidth="1"/>
    <col min="2055" max="2055" width="14.5703125" style="640" customWidth="1"/>
    <col min="2056" max="2056" width="6.140625" style="640" customWidth="1"/>
    <col min="2057" max="2057" width="15.28515625" style="640" customWidth="1"/>
    <col min="2058" max="2063" width="0" style="640" hidden="1" customWidth="1"/>
    <col min="2064" max="2064" width="17.7109375" style="640" customWidth="1"/>
    <col min="2065" max="2065" width="14.5703125" style="640" customWidth="1"/>
    <col min="2066" max="2066" width="16.5703125" style="640" customWidth="1"/>
    <col min="2067" max="2067" width="17" style="640" customWidth="1"/>
    <col min="2068" max="2302" width="9.140625" style="640"/>
    <col min="2303" max="2303" width="25.7109375" style="640" customWidth="1"/>
    <col min="2304" max="2304" width="24.7109375" style="640" customWidth="1"/>
    <col min="2305" max="2306" width="9.140625" style="640"/>
    <col min="2307" max="2307" width="17" style="640" customWidth="1"/>
    <col min="2308" max="2308" width="10.5703125" style="640" customWidth="1"/>
    <col min="2309" max="2309" width="14" style="640" customWidth="1"/>
    <col min="2310" max="2310" width="10" style="640" customWidth="1"/>
    <col min="2311" max="2311" width="14.5703125" style="640" customWidth="1"/>
    <col min="2312" max="2312" width="6.140625" style="640" customWidth="1"/>
    <col min="2313" max="2313" width="15.28515625" style="640" customWidth="1"/>
    <col min="2314" max="2319" width="0" style="640" hidden="1" customWidth="1"/>
    <col min="2320" max="2320" width="17.7109375" style="640" customWidth="1"/>
    <col min="2321" max="2321" width="14.5703125" style="640" customWidth="1"/>
    <col min="2322" max="2322" width="16.5703125" style="640" customWidth="1"/>
    <col min="2323" max="2323" width="17" style="640" customWidth="1"/>
    <col min="2324" max="2558" width="9.140625" style="640"/>
    <col min="2559" max="2559" width="25.7109375" style="640" customWidth="1"/>
    <col min="2560" max="2560" width="24.7109375" style="640" customWidth="1"/>
    <col min="2561" max="2562" width="9.140625" style="640"/>
    <col min="2563" max="2563" width="17" style="640" customWidth="1"/>
    <col min="2564" max="2564" width="10.5703125" style="640" customWidth="1"/>
    <col min="2565" max="2565" width="14" style="640" customWidth="1"/>
    <col min="2566" max="2566" width="10" style="640" customWidth="1"/>
    <col min="2567" max="2567" width="14.5703125" style="640" customWidth="1"/>
    <col min="2568" max="2568" width="6.140625" style="640" customWidth="1"/>
    <col min="2569" max="2569" width="15.28515625" style="640" customWidth="1"/>
    <col min="2570" max="2575" width="0" style="640" hidden="1" customWidth="1"/>
    <col min="2576" max="2576" width="17.7109375" style="640" customWidth="1"/>
    <col min="2577" max="2577" width="14.5703125" style="640" customWidth="1"/>
    <col min="2578" max="2578" width="16.5703125" style="640" customWidth="1"/>
    <col min="2579" max="2579" width="17" style="640" customWidth="1"/>
    <col min="2580" max="2814" width="9.140625" style="640"/>
    <col min="2815" max="2815" width="25.7109375" style="640" customWidth="1"/>
    <col min="2816" max="2816" width="24.7109375" style="640" customWidth="1"/>
    <col min="2817" max="2818" width="9.140625" style="640"/>
    <col min="2819" max="2819" width="17" style="640" customWidth="1"/>
    <col min="2820" max="2820" width="10.5703125" style="640" customWidth="1"/>
    <col min="2821" max="2821" width="14" style="640" customWidth="1"/>
    <col min="2822" max="2822" width="10" style="640" customWidth="1"/>
    <col min="2823" max="2823" width="14.5703125" style="640" customWidth="1"/>
    <col min="2824" max="2824" width="6.140625" style="640" customWidth="1"/>
    <col min="2825" max="2825" width="15.28515625" style="640" customWidth="1"/>
    <col min="2826" max="2831" width="0" style="640" hidden="1" customWidth="1"/>
    <col min="2832" max="2832" width="17.7109375" style="640" customWidth="1"/>
    <col min="2833" max="2833" width="14.5703125" style="640" customWidth="1"/>
    <col min="2834" max="2834" width="16.5703125" style="640" customWidth="1"/>
    <col min="2835" max="2835" width="17" style="640" customWidth="1"/>
    <col min="2836" max="3070" width="9.140625" style="640"/>
    <col min="3071" max="3071" width="25.7109375" style="640" customWidth="1"/>
    <col min="3072" max="3072" width="24.7109375" style="640" customWidth="1"/>
    <col min="3073" max="3074" width="9.140625" style="640"/>
    <col min="3075" max="3075" width="17" style="640" customWidth="1"/>
    <col min="3076" max="3076" width="10.5703125" style="640" customWidth="1"/>
    <col min="3077" max="3077" width="14" style="640" customWidth="1"/>
    <col min="3078" max="3078" width="10" style="640" customWidth="1"/>
    <col min="3079" max="3079" width="14.5703125" style="640" customWidth="1"/>
    <col min="3080" max="3080" width="6.140625" style="640" customWidth="1"/>
    <col min="3081" max="3081" width="15.28515625" style="640" customWidth="1"/>
    <col min="3082" max="3087" width="0" style="640" hidden="1" customWidth="1"/>
    <col min="3088" max="3088" width="17.7109375" style="640" customWidth="1"/>
    <col min="3089" max="3089" width="14.5703125" style="640" customWidth="1"/>
    <col min="3090" max="3090" width="16.5703125" style="640" customWidth="1"/>
    <col min="3091" max="3091" width="17" style="640" customWidth="1"/>
    <col min="3092" max="3326" width="9.140625" style="640"/>
    <col min="3327" max="3327" width="25.7109375" style="640" customWidth="1"/>
    <col min="3328" max="3328" width="24.7109375" style="640" customWidth="1"/>
    <col min="3329" max="3330" width="9.140625" style="640"/>
    <col min="3331" max="3331" width="17" style="640" customWidth="1"/>
    <col min="3332" max="3332" width="10.5703125" style="640" customWidth="1"/>
    <col min="3333" max="3333" width="14" style="640" customWidth="1"/>
    <col min="3334" max="3334" width="10" style="640" customWidth="1"/>
    <col min="3335" max="3335" width="14.5703125" style="640" customWidth="1"/>
    <col min="3336" max="3336" width="6.140625" style="640" customWidth="1"/>
    <col min="3337" max="3337" width="15.28515625" style="640" customWidth="1"/>
    <col min="3338" max="3343" width="0" style="640" hidden="1" customWidth="1"/>
    <col min="3344" max="3344" width="17.7109375" style="640" customWidth="1"/>
    <col min="3345" max="3345" width="14.5703125" style="640" customWidth="1"/>
    <col min="3346" max="3346" width="16.5703125" style="640" customWidth="1"/>
    <col min="3347" max="3347" width="17" style="640" customWidth="1"/>
    <col min="3348" max="3582" width="9.140625" style="640"/>
    <col min="3583" max="3583" width="25.7109375" style="640" customWidth="1"/>
    <col min="3584" max="3584" width="24.7109375" style="640" customWidth="1"/>
    <col min="3585" max="3586" width="9.140625" style="640"/>
    <col min="3587" max="3587" width="17" style="640" customWidth="1"/>
    <col min="3588" max="3588" width="10.5703125" style="640" customWidth="1"/>
    <col min="3589" max="3589" width="14" style="640" customWidth="1"/>
    <col min="3590" max="3590" width="10" style="640" customWidth="1"/>
    <col min="3591" max="3591" width="14.5703125" style="640" customWidth="1"/>
    <col min="3592" max="3592" width="6.140625" style="640" customWidth="1"/>
    <col min="3593" max="3593" width="15.28515625" style="640" customWidth="1"/>
    <col min="3594" max="3599" width="0" style="640" hidden="1" customWidth="1"/>
    <col min="3600" max="3600" width="17.7109375" style="640" customWidth="1"/>
    <col min="3601" max="3601" width="14.5703125" style="640" customWidth="1"/>
    <col min="3602" max="3602" width="16.5703125" style="640" customWidth="1"/>
    <col min="3603" max="3603" width="17" style="640" customWidth="1"/>
    <col min="3604" max="3838" width="9.140625" style="640"/>
    <col min="3839" max="3839" width="25.7109375" style="640" customWidth="1"/>
    <col min="3840" max="3840" width="24.7109375" style="640" customWidth="1"/>
    <col min="3841" max="3842" width="9.140625" style="640"/>
    <col min="3843" max="3843" width="17" style="640" customWidth="1"/>
    <col min="3844" max="3844" width="10.5703125" style="640" customWidth="1"/>
    <col min="3845" max="3845" width="14" style="640" customWidth="1"/>
    <col min="3846" max="3846" width="10" style="640" customWidth="1"/>
    <col min="3847" max="3847" width="14.5703125" style="640" customWidth="1"/>
    <col min="3848" max="3848" width="6.140625" style="640" customWidth="1"/>
    <col min="3849" max="3849" width="15.28515625" style="640" customWidth="1"/>
    <col min="3850" max="3855" width="0" style="640" hidden="1" customWidth="1"/>
    <col min="3856" max="3856" width="17.7109375" style="640" customWidth="1"/>
    <col min="3857" max="3857" width="14.5703125" style="640" customWidth="1"/>
    <col min="3858" max="3858" width="16.5703125" style="640" customWidth="1"/>
    <col min="3859" max="3859" width="17" style="640" customWidth="1"/>
    <col min="3860" max="4094" width="9.140625" style="640"/>
    <col min="4095" max="4095" width="25.7109375" style="640" customWidth="1"/>
    <col min="4096" max="4096" width="24.7109375" style="640" customWidth="1"/>
    <col min="4097" max="4098" width="9.140625" style="640"/>
    <col min="4099" max="4099" width="17" style="640" customWidth="1"/>
    <col min="4100" max="4100" width="10.5703125" style="640" customWidth="1"/>
    <col min="4101" max="4101" width="14" style="640" customWidth="1"/>
    <col min="4102" max="4102" width="10" style="640" customWidth="1"/>
    <col min="4103" max="4103" width="14.5703125" style="640" customWidth="1"/>
    <col min="4104" max="4104" width="6.140625" style="640" customWidth="1"/>
    <col min="4105" max="4105" width="15.28515625" style="640" customWidth="1"/>
    <col min="4106" max="4111" width="0" style="640" hidden="1" customWidth="1"/>
    <col min="4112" max="4112" width="17.7109375" style="640" customWidth="1"/>
    <col min="4113" max="4113" width="14.5703125" style="640" customWidth="1"/>
    <col min="4114" max="4114" width="16.5703125" style="640" customWidth="1"/>
    <col min="4115" max="4115" width="17" style="640" customWidth="1"/>
    <col min="4116" max="4350" width="9.140625" style="640"/>
    <col min="4351" max="4351" width="25.7109375" style="640" customWidth="1"/>
    <col min="4352" max="4352" width="24.7109375" style="640" customWidth="1"/>
    <col min="4353" max="4354" width="9.140625" style="640"/>
    <col min="4355" max="4355" width="17" style="640" customWidth="1"/>
    <col min="4356" max="4356" width="10.5703125" style="640" customWidth="1"/>
    <col min="4357" max="4357" width="14" style="640" customWidth="1"/>
    <col min="4358" max="4358" width="10" style="640" customWidth="1"/>
    <col min="4359" max="4359" width="14.5703125" style="640" customWidth="1"/>
    <col min="4360" max="4360" width="6.140625" style="640" customWidth="1"/>
    <col min="4361" max="4361" width="15.28515625" style="640" customWidth="1"/>
    <col min="4362" max="4367" width="0" style="640" hidden="1" customWidth="1"/>
    <col min="4368" max="4368" width="17.7109375" style="640" customWidth="1"/>
    <col min="4369" max="4369" width="14.5703125" style="640" customWidth="1"/>
    <col min="4370" max="4370" width="16.5703125" style="640" customWidth="1"/>
    <col min="4371" max="4371" width="17" style="640" customWidth="1"/>
    <col min="4372" max="4606" width="9.140625" style="640"/>
    <col min="4607" max="4607" width="25.7109375" style="640" customWidth="1"/>
    <col min="4608" max="4608" width="24.7109375" style="640" customWidth="1"/>
    <col min="4609" max="4610" width="9.140625" style="640"/>
    <col min="4611" max="4611" width="17" style="640" customWidth="1"/>
    <col min="4612" max="4612" width="10.5703125" style="640" customWidth="1"/>
    <col min="4613" max="4613" width="14" style="640" customWidth="1"/>
    <col min="4614" max="4614" width="10" style="640" customWidth="1"/>
    <col min="4615" max="4615" width="14.5703125" style="640" customWidth="1"/>
    <col min="4616" max="4616" width="6.140625" style="640" customWidth="1"/>
    <col min="4617" max="4617" width="15.28515625" style="640" customWidth="1"/>
    <col min="4618" max="4623" width="0" style="640" hidden="1" customWidth="1"/>
    <col min="4624" max="4624" width="17.7109375" style="640" customWidth="1"/>
    <col min="4625" max="4625" width="14.5703125" style="640" customWidth="1"/>
    <col min="4626" max="4626" width="16.5703125" style="640" customWidth="1"/>
    <col min="4627" max="4627" width="17" style="640" customWidth="1"/>
    <col min="4628" max="4862" width="9.140625" style="640"/>
    <col min="4863" max="4863" width="25.7109375" style="640" customWidth="1"/>
    <col min="4864" max="4864" width="24.7109375" style="640" customWidth="1"/>
    <col min="4865" max="4866" width="9.140625" style="640"/>
    <col min="4867" max="4867" width="17" style="640" customWidth="1"/>
    <col min="4868" max="4868" width="10.5703125" style="640" customWidth="1"/>
    <col min="4869" max="4869" width="14" style="640" customWidth="1"/>
    <col min="4870" max="4870" width="10" style="640" customWidth="1"/>
    <col min="4871" max="4871" width="14.5703125" style="640" customWidth="1"/>
    <col min="4872" max="4872" width="6.140625" style="640" customWidth="1"/>
    <col min="4873" max="4873" width="15.28515625" style="640" customWidth="1"/>
    <col min="4874" max="4879" width="0" style="640" hidden="1" customWidth="1"/>
    <col min="4880" max="4880" width="17.7109375" style="640" customWidth="1"/>
    <col min="4881" max="4881" width="14.5703125" style="640" customWidth="1"/>
    <col min="4882" max="4882" width="16.5703125" style="640" customWidth="1"/>
    <col min="4883" max="4883" width="17" style="640" customWidth="1"/>
    <col min="4884" max="5118" width="9.140625" style="640"/>
    <col min="5119" max="5119" width="25.7109375" style="640" customWidth="1"/>
    <col min="5120" max="5120" width="24.7109375" style="640" customWidth="1"/>
    <col min="5121" max="5122" width="9.140625" style="640"/>
    <col min="5123" max="5123" width="17" style="640" customWidth="1"/>
    <col min="5124" max="5124" width="10.5703125" style="640" customWidth="1"/>
    <col min="5125" max="5125" width="14" style="640" customWidth="1"/>
    <col min="5126" max="5126" width="10" style="640" customWidth="1"/>
    <col min="5127" max="5127" width="14.5703125" style="640" customWidth="1"/>
    <col min="5128" max="5128" width="6.140625" style="640" customWidth="1"/>
    <col min="5129" max="5129" width="15.28515625" style="640" customWidth="1"/>
    <col min="5130" max="5135" width="0" style="640" hidden="1" customWidth="1"/>
    <col min="5136" max="5136" width="17.7109375" style="640" customWidth="1"/>
    <col min="5137" max="5137" width="14.5703125" style="640" customWidth="1"/>
    <col min="5138" max="5138" width="16.5703125" style="640" customWidth="1"/>
    <col min="5139" max="5139" width="17" style="640" customWidth="1"/>
    <col min="5140" max="5374" width="9.140625" style="640"/>
    <col min="5375" max="5375" width="25.7109375" style="640" customWidth="1"/>
    <col min="5376" max="5376" width="24.7109375" style="640" customWidth="1"/>
    <col min="5377" max="5378" width="9.140625" style="640"/>
    <col min="5379" max="5379" width="17" style="640" customWidth="1"/>
    <col min="5380" max="5380" width="10.5703125" style="640" customWidth="1"/>
    <col min="5381" max="5381" width="14" style="640" customWidth="1"/>
    <col min="5382" max="5382" width="10" style="640" customWidth="1"/>
    <col min="5383" max="5383" width="14.5703125" style="640" customWidth="1"/>
    <col min="5384" max="5384" width="6.140625" style="640" customWidth="1"/>
    <col min="5385" max="5385" width="15.28515625" style="640" customWidth="1"/>
    <col min="5386" max="5391" width="0" style="640" hidden="1" customWidth="1"/>
    <col min="5392" max="5392" width="17.7109375" style="640" customWidth="1"/>
    <col min="5393" max="5393" width="14.5703125" style="640" customWidth="1"/>
    <col min="5394" max="5394" width="16.5703125" style="640" customWidth="1"/>
    <col min="5395" max="5395" width="17" style="640" customWidth="1"/>
    <col min="5396" max="5630" width="9.140625" style="640"/>
    <col min="5631" max="5631" width="25.7109375" style="640" customWidth="1"/>
    <col min="5632" max="5632" width="24.7109375" style="640" customWidth="1"/>
    <col min="5633" max="5634" width="9.140625" style="640"/>
    <col min="5635" max="5635" width="17" style="640" customWidth="1"/>
    <col min="5636" max="5636" width="10.5703125" style="640" customWidth="1"/>
    <col min="5637" max="5637" width="14" style="640" customWidth="1"/>
    <col min="5638" max="5638" width="10" style="640" customWidth="1"/>
    <col min="5639" max="5639" width="14.5703125" style="640" customWidth="1"/>
    <col min="5640" max="5640" width="6.140625" style="640" customWidth="1"/>
    <col min="5641" max="5641" width="15.28515625" style="640" customWidth="1"/>
    <col min="5642" max="5647" width="0" style="640" hidden="1" customWidth="1"/>
    <col min="5648" max="5648" width="17.7109375" style="640" customWidth="1"/>
    <col min="5649" max="5649" width="14.5703125" style="640" customWidth="1"/>
    <col min="5650" max="5650" width="16.5703125" style="640" customWidth="1"/>
    <col min="5651" max="5651" width="17" style="640" customWidth="1"/>
    <col min="5652" max="5886" width="9.140625" style="640"/>
    <col min="5887" max="5887" width="25.7109375" style="640" customWidth="1"/>
    <col min="5888" max="5888" width="24.7109375" style="640" customWidth="1"/>
    <col min="5889" max="5890" width="9.140625" style="640"/>
    <col min="5891" max="5891" width="17" style="640" customWidth="1"/>
    <col min="5892" max="5892" width="10.5703125" style="640" customWidth="1"/>
    <col min="5893" max="5893" width="14" style="640" customWidth="1"/>
    <col min="5894" max="5894" width="10" style="640" customWidth="1"/>
    <col min="5895" max="5895" width="14.5703125" style="640" customWidth="1"/>
    <col min="5896" max="5896" width="6.140625" style="640" customWidth="1"/>
    <col min="5897" max="5897" width="15.28515625" style="640" customWidth="1"/>
    <col min="5898" max="5903" width="0" style="640" hidden="1" customWidth="1"/>
    <col min="5904" max="5904" width="17.7109375" style="640" customWidth="1"/>
    <col min="5905" max="5905" width="14.5703125" style="640" customWidth="1"/>
    <col min="5906" max="5906" width="16.5703125" style="640" customWidth="1"/>
    <col min="5907" max="5907" width="17" style="640" customWidth="1"/>
    <col min="5908" max="6142" width="9.140625" style="640"/>
    <col min="6143" max="6143" width="25.7109375" style="640" customWidth="1"/>
    <col min="6144" max="6144" width="24.7109375" style="640" customWidth="1"/>
    <col min="6145" max="6146" width="9.140625" style="640"/>
    <col min="6147" max="6147" width="17" style="640" customWidth="1"/>
    <col min="6148" max="6148" width="10.5703125" style="640" customWidth="1"/>
    <col min="6149" max="6149" width="14" style="640" customWidth="1"/>
    <col min="6150" max="6150" width="10" style="640" customWidth="1"/>
    <col min="6151" max="6151" width="14.5703125" style="640" customWidth="1"/>
    <col min="6152" max="6152" width="6.140625" style="640" customWidth="1"/>
    <col min="6153" max="6153" width="15.28515625" style="640" customWidth="1"/>
    <col min="6154" max="6159" width="0" style="640" hidden="1" customWidth="1"/>
    <col min="6160" max="6160" width="17.7109375" style="640" customWidth="1"/>
    <col min="6161" max="6161" width="14.5703125" style="640" customWidth="1"/>
    <col min="6162" max="6162" width="16.5703125" style="640" customWidth="1"/>
    <col min="6163" max="6163" width="17" style="640" customWidth="1"/>
    <col min="6164" max="6398" width="9.140625" style="640"/>
    <col min="6399" max="6399" width="25.7109375" style="640" customWidth="1"/>
    <col min="6400" max="6400" width="24.7109375" style="640" customWidth="1"/>
    <col min="6401" max="6402" width="9.140625" style="640"/>
    <col min="6403" max="6403" width="17" style="640" customWidth="1"/>
    <col min="6404" max="6404" width="10.5703125" style="640" customWidth="1"/>
    <col min="6405" max="6405" width="14" style="640" customWidth="1"/>
    <col min="6406" max="6406" width="10" style="640" customWidth="1"/>
    <col min="6407" max="6407" width="14.5703125" style="640" customWidth="1"/>
    <col min="6408" max="6408" width="6.140625" style="640" customWidth="1"/>
    <col min="6409" max="6409" width="15.28515625" style="640" customWidth="1"/>
    <col min="6410" max="6415" width="0" style="640" hidden="1" customWidth="1"/>
    <col min="6416" max="6416" width="17.7109375" style="640" customWidth="1"/>
    <col min="6417" max="6417" width="14.5703125" style="640" customWidth="1"/>
    <col min="6418" max="6418" width="16.5703125" style="640" customWidth="1"/>
    <col min="6419" max="6419" width="17" style="640" customWidth="1"/>
    <col min="6420" max="6654" width="9.140625" style="640"/>
    <col min="6655" max="6655" width="25.7109375" style="640" customWidth="1"/>
    <col min="6656" max="6656" width="24.7109375" style="640" customWidth="1"/>
    <col min="6657" max="6658" width="9.140625" style="640"/>
    <col min="6659" max="6659" width="17" style="640" customWidth="1"/>
    <col min="6660" max="6660" width="10.5703125" style="640" customWidth="1"/>
    <col min="6661" max="6661" width="14" style="640" customWidth="1"/>
    <col min="6662" max="6662" width="10" style="640" customWidth="1"/>
    <col min="6663" max="6663" width="14.5703125" style="640" customWidth="1"/>
    <col min="6664" max="6664" width="6.140625" style="640" customWidth="1"/>
    <col min="6665" max="6665" width="15.28515625" style="640" customWidth="1"/>
    <col min="6666" max="6671" width="0" style="640" hidden="1" customWidth="1"/>
    <col min="6672" max="6672" width="17.7109375" style="640" customWidth="1"/>
    <col min="6673" max="6673" width="14.5703125" style="640" customWidth="1"/>
    <col min="6674" max="6674" width="16.5703125" style="640" customWidth="1"/>
    <col min="6675" max="6675" width="17" style="640" customWidth="1"/>
    <col min="6676" max="6910" width="9.140625" style="640"/>
    <col min="6911" max="6911" width="25.7109375" style="640" customWidth="1"/>
    <col min="6912" max="6912" width="24.7109375" style="640" customWidth="1"/>
    <col min="6913" max="6914" width="9.140625" style="640"/>
    <col min="6915" max="6915" width="17" style="640" customWidth="1"/>
    <col min="6916" max="6916" width="10.5703125" style="640" customWidth="1"/>
    <col min="6917" max="6917" width="14" style="640" customWidth="1"/>
    <col min="6918" max="6918" width="10" style="640" customWidth="1"/>
    <col min="6919" max="6919" width="14.5703125" style="640" customWidth="1"/>
    <col min="6920" max="6920" width="6.140625" style="640" customWidth="1"/>
    <col min="6921" max="6921" width="15.28515625" style="640" customWidth="1"/>
    <col min="6922" max="6927" width="0" style="640" hidden="1" customWidth="1"/>
    <col min="6928" max="6928" width="17.7109375" style="640" customWidth="1"/>
    <col min="6929" max="6929" width="14.5703125" style="640" customWidth="1"/>
    <col min="6930" max="6930" width="16.5703125" style="640" customWidth="1"/>
    <col min="6931" max="6931" width="17" style="640" customWidth="1"/>
    <col min="6932" max="7166" width="9.140625" style="640"/>
    <col min="7167" max="7167" width="25.7109375" style="640" customWidth="1"/>
    <col min="7168" max="7168" width="24.7109375" style="640" customWidth="1"/>
    <col min="7169" max="7170" width="9.140625" style="640"/>
    <col min="7171" max="7171" width="17" style="640" customWidth="1"/>
    <col min="7172" max="7172" width="10.5703125" style="640" customWidth="1"/>
    <col min="7173" max="7173" width="14" style="640" customWidth="1"/>
    <col min="7174" max="7174" width="10" style="640" customWidth="1"/>
    <col min="7175" max="7175" width="14.5703125" style="640" customWidth="1"/>
    <col min="7176" max="7176" width="6.140625" style="640" customWidth="1"/>
    <col min="7177" max="7177" width="15.28515625" style="640" customWidth="1"/>
    <col min="7178" max="7183" width="0" style="640" hidden="1" customWidth="1"/>
    <col min="7184" max="7184" width="17.7109375" style="640" customWidth="1"/>
    <col min="7185" max="7185" width="14.5703125" style="640" customWidth="1"/>
    <col min="7186" max="7186" width="16.5703125" style="640" customWidth="1"/>
    <col min="7187" max="7187" width="17" style="640" customWidth="1"/>
    <col min="7188" max="7422" width="9.140625" style="640"/>
    <col min="7423" max="7423" width="25.7109375" style="640" customWidth="1"/>
    <col min="7424" max="7424" width="24.7109375" style="640" customWidth="1"/>
    <col min="7425" max="7426" width="9.140625" style="640"/>
    <col min="7427" max="7427" width="17" style="640" customWidth="1"/>
    <col min="7428" max="7428" width="10.5703125" style="640" customWidth="1"/>
    <col min="7429" max="7429" width="14" style="640" customWidth="1"/>
    <col min="7430" max="7430" width="10" style="640" customWidth="1"/>
    <col min="7431" max="7431" width="14.5703125" style="640" customWidth="1"/>
    <col min="7432" max="7432" width="6.140625" style="640" customWidth="1"/>
    <col min="7433" max="7433" width="15.28515625" style="640" customWidth="1"/>
    <col min="7434" max="7439" width="0" style="640" hidden="1" customWidth="1"/>
    <col min="7440" max="7440" width="17.7109375" style="640" customWidth="1"/>
    <col min="7441" max="7441" width="14.5703125" style="640" customWidth="1"/>
    <col min="7442" max="7442" width="16.5703125" style="640" customWidth="1"/>
    <col min="7443" max="7443" width="17" style="640" customWidth="1"/>
    <col min="7444" max="7678" width="9.140625" style="640"/>
    <col min="7679" max="7679" width="25.7109375" style="640" customWidth="1"/>
    <col min="7680" max="7680" width="24.7109375" style="640" customWidth="1"/>
    <col min="7681" max="7682" width="9.140625" style="640"/>
    <col min="7683" max="7683" width="17" style="640" customWidth="1"/>
    <col min="7684" max="7684" width="10.5703125" style="640" customWidth="1"/>
    <col min="7685" max="7685" width="14" style="640" customWidth="1"/>
    <col min="7686" max="7686" width="10" style="640" customWidth="1"/>
    <col min="7687" max="7687" width="14.5703125" style="640" customWidth="1"/>
    <col min="7688" max="7688" width="6.140625" style="640" customWidth="1"/>
    <col min="7689" max="7689" width="15.28515625" style="640" customWidth="1"/>
    <col min="7690" max="7695" width="0" style="640" hidden="1" customWidth="1"/>
    <col min="7696" max="7696" width="17.7109375" style="640" customWidth="1"/>
    <col min="7697" max="7697" width="14.5703125" style="640" customWidth="1"/>
    <col min="7698" max="7698" width="16.5703125" style="640" customWidth="1"/>
    <col min="7699" max="7699" width="17" style="640" customWidth="1"/>
    <col min="7700" max="7934" width="9.140625" style="640"/>
    <col min="7935" max="7935" width="25.7109375" style="640" customWidth="1"/>
    <col min="7936" max="7936" width="24.7109375" style="640" customWidth="1"/>
    <col min="7937" max="7938" width="9.140625" style="640"/>
    <col min="7939" max="7939" width="17" style="640" customWidth="1"/>
    <col min="7940" max="7940" width="10.5703125" style="640" customWidth="1"/>
    <col min="7941" max="7941" width="14" style="640" customWidth="1"/>
    <col min="7942" max="7942" width="10" style="640" customWidth="1"/>
    <col min="7943" max="7943" width="14.5703125" style="640" customWidth="1"/>
    <col min="7944" max="7944" width="6.140625" style="640" customWidth="1"/>
    <col min="7945" max="7945" width="15.28515625" style="640" customWidth="1"/>
    <col min="7946" max="7951" width="0" style="640" hidden="1" customWidth="1"/>
    <col min="7952" max="7952" width="17.7109375" style="640" customWidth="1"/>
    <col min="7953" max="7953" width="14.5703125" style="640" customWidth="1"/>
    <col min="7954" max="7954" width="16.5703125" style="640" customWidth="1"/>
    <col min="7955" max="7955" width="17" style="640" customWidth="1"/>
    <col min="7956" max="8190" width="9.140625" style="640"/>
    <col min="8191" max="8191" width="25.7109375" style="640" customWidth="1"/>
    <col min="8192" max="8192" width="24.7109375" style="640" customWidth="1"/>
    <col min="8193" max="8194" width="9.140625" style="640"/>
    <col min="8195" max="8195" width="17" style="640" customWidth="1"/>
    <col min="8196" max="8196" width="10.5703125" style="640" customWidth="1"/>
    <col min="8197" max="8197" width="14" style="640" customWidth="1"/>
    <col min="8198" max="8198" width="10" style="640" customWidth="1"/>
    <col min="8199" max="8199" width="14.5703125" style="640" customWidth="1"/>
    <col min="8200" max="8200" width="6.140625" style="640" customWidth="1"/>
    <col min="8201" max="8201" width="15.28515625" style="640" customWidth="1"/>
    <col min="8202" max="8207" width="0" style="640" hidden="1" customWidth="1"/>
    <col min="8208" max="8208" width="17.7109375" style="640" customWidth="1"/>
    <col min="8209" max="8209" width="14.5703125" style="640" customWidth="1"/>
    <col min="8210" max="8210" width="16.5703125" style="640" customWidth="1"/>
    <col min="8211" max="8211" width="17" style="640" customWidth="1"/>
    <col min="8212" max="8446" width="9.140625" style="640"/>
    <col min="8447" max="8447" width="25.7109375" style="640" customWidth="1"/>
    <col min="8448" max="8448" width="24.7109375" style="640" customWidth="1"/>
    <col min="8449" max="8450" width="9.140625" style="640"/>
    <col min="8451" max="8451" width="17" style="640" customWidth="1"/>
    <col min="8452" max="8452" width="10.5703125" style="640" customWidth="1"/>
    <col min="8453" max="8453" width="14" style="640" customWidth="1"/>
    <col min="8454" max="8454" width="10" style="640" customWidth="1"/>
    <col min="8455" max="8455" width="14.5703125" style="640" customWidth="1"/>
    <col min="8456" max="8456" width="6.140625" style="640" customWidth="1"/>
    <col min="8457" max="8457" width="15.28515625" style="640" customWidth="1"/>
    <col min="8458" max="8463" width="0" style="640" hidden="1" customWidth="1"/>
    <col min="8464" max="8464" width="17.7109375" style="640" customWidth="1"/>
    <col min="8465" max="8465" width="14.5703125" style="640" customWidth="1"/>
    <col min="8466" max="8466" width="16.5703125" style="640" customWidth="1"/>
    <col min="8467" max="8467" width="17" style="640" customWidth="1"/>
    <col min="8468" max="8702" width="9.140625" style="640"/>
    <col min="8703" max="8703" width="25.7109375" style="640" customWidth="1"/>
    <col min="8704" max="8704" width="24.7109375" style="640" customWidth="1"/>
    <col min="8705" max="8706" width="9.140625" style="640"/>
    <col min="8707" max="8707" width="17" style="640" customWidth="1"/>
    <col min="8708" max="8708" width="10.5703125" style="640" customWidth="1"/>
    <col min="8709" max="8709" width="14" style="640" customWidth="1"/>
    <col min="8710" max="8710" width="10" style="640" customWidth="1"/>
    <col min="8711" max="8711" width="14.5703125" style="640" customWidth="1"/>
    <col min="8712" max="8712" width="6.140625" style="640" customWidth="1"/>
    <col min="8713" max="8713" width="15.28515625" style="640" customWidth="1"/>
    <col min="8714" max="8719" width="0" style="640" hidden="1" customWidth="1"/>
    <col min="8720" max="8720" width="17.7109375" style="640" customWidth="1"/>
    <col min="8721" max="8721" width="14.5703125" style="640" customWidth="1"/>
    <col min="8722" max="8722" width="16.5703125" style="640" customWidth="1"/>
    <col min="8723" max="8723" width="17" style="640" customWidth="1"/>
    <col min="8724" max="8958" width="9.140625" style="640"/>
    <col min="8959" max="8959" width="25.7109375" style="640" customWidth="1"/>
    <col min="8960" max="8960" width="24.7109375" style="640" customWidth="1"/>
    <col min="8961" max="8962" width="9.140625" style="640"/>
    <col min="8963" max="8963" width="17" style="640" customWidth="1"/>
    <col min="8964" max="8964" width="10.5703125" style="640" customWidth="1"/>
    <col min="8965" max="8965" width="14" style="640" customWidth="1"/>
    <col min="8966" max="8966" width="10" style="640" customWidth="1"/>
    <col min="8967" max="8967" width="14.5703125" style="640" customWidth="1"/>
    <col min="8968" max="8968" width="6.140625" style="640" customWidth="1"/>
    <col min="8969" max="8969" width="15.28515625" style="640" customWidth="1"/>
    <col min="8970" max="8975" width="0" style="640" hidden="1" customWidth="1"/>
    <col min="8976" max="8976" width="17.7109375" style="640" customWidth="1"/>
    <col min="8977" max="8977" width="14.5703125" style="640" customWidth="1"/>
    <col min="8978" max="8978" width="16.5703125" style="640" customWidth="1"/>
    <col min="8979" max="8979" width="17" style="640" customWidth="1"/>
    <col min="8980" max="9214" width="9.140625" style="640"/>
    <col min="9215" max="9215" width="25.7109375" style="640" customWidth="1"/>
    <col min="9216" max="9216" width="24.7109375" style="640" customWidth="1"/>
    <col min="9217" max="9218" width="9.140625" style="640"/>
    <col min="9219" max="9219" width="17" style="640" customWidth="1"/>
    <col min="9220" max="9220" width="10.5703125" style="640" customWidth="1"/>
    <col min="9221" max="9221" width="14" style="640" customWidth="1"/>
    <col min="9222" max="9222" width="10" style="640" customWidth="1"/>
    <col min="9223" max="9223" width="14.5703125" style="640" customWidth="1"/>
    <col min="9224" max="9224" width="6.140625" style="640" customWidth="1"/>
    <col min="9225" max="9225" width="15.28515625" style="640" customWidth="1"/>
    <col min="9226" max="9231" width="0" style="640" hidden="1" customWidth="1"/>
    <col min="9232" max="9232" width="17.7109375" style="640" customWidth="1"/>
    <col min="9233" max="9233" width="14.5703125" style="640" customWidth="1"/>
    <col min="9234" max="9234" width="16.5703125" style="640" customWidth="1"/>
    <col min="9235" max="9235" width="17" style="640" customWidth="1"/>
    <col min="9236" max="9470" width="9.140625" style="640"/>
    <col min="9471" max="9471" width="25.7109375" style="640" customWidth="1"/>
    <col min="9472" max="9472" width="24.7109375" style="640" customWidth="1"/>
    <col min="9473" max="9474" width="9.140625" style="640"/>
    <col min="9475" max="9475" width="17" style="640" customWidth="1"/>
    <col min="9476" max="9476" width="10.5703125" style="640" customWidth="1"/>
    <col min="9477" max="9477" width="14" style="640" customWidth="1"/>
    <col min="9478" max="9478" width="10" style="640" customWidth="1"/>
    <col min="9479" max="9479" width="14.5703125" style="640" customWidth="1"/>
    <col min="9480" max="9480" width="6.140625" style="640" customWidth="1"/>
    <col min="9481" max="9481" width="15.28515625" style="640" customWidth="1"/>
    <col min="9482" max="9487" width="0" style="640" hidden="1" customWidth="1"/>
    <col min="9488" max="9488" width="17.7109375" style="640" customWidth="1"/>
    <col min="9489" max="9489" width="14.5703125" style="640" customWidth="1"/>
    <col min="9490" max="9490" width="16.5703125" style="640" customWidth="1"/>
    <col min="9491" max="9491" width="17" style="640" customWidth="1"/>
    <col min="9492" max="9726" width="9.140625" style="640"/>
    <col min="9727" max="9727" width="25.7109375" style="640" customWidth="1"/>
    <col min="9728" max="9728" width="24.7109375" style="640" customWidth="1"/>
    <col min="9729" max="9730" width="9.140625" style="640"/>
    <col min="9731" max="9731" width="17" style="640" customWidth="1"/>
    <col min="9732" max="9732" width="10.5703125" style="640" customWidth="1"/>
    <col min="9733" max="9733" width="14" style="640" customWidth="1"/>
    <col min="9734" max="9734" width="10" style="640" customWidth="1"/>
    <col min="9735" max="9735" width="14.5703125" style="640" customWidth="1"/>
    <col min="9736" max="9736" width="6.140625" style="640" customWidth="1"/>
    <col min="9737" max="9737" width="15.28515625" style="640" customWidth="1"/>
    <col min="9738" max="9743" width="0" style="640" hidden="1" customWidth="1"/>
    <col min="9744" max="9744" width="17.7109375" style="640" customWidth="1"/>
    <col min="9745" max="9745" width="14.5703125" style="640" customWidth="1"/>
    <col min="9746" max="9746" width="16.5703125" style="640" customWidth="1"/>
    <col min="9747" max="9747" width="17" style="640" customWidth="1"/>
    <col min="9748" max="9982" width="9.140625" style="640"/>
    <col min="9983" max="9983" width="25.7109375" style="640" customWidth="1"/>
    <col min="9984" max="9984" width="24.7109375" style="640" customWidth="1"/>
    <col min="9985" max="9986" width="9.140625" style="640"/>
    <col min="9987" max="9987" width="17" style="640" customWidth="1"/>
    <col min="9988" max="9988" width="10.5703125" style="640" customWidth="1"/>
    <col min="9989" max="9989" width="14" style="640" customWidth="1"/>
    <col min="9990" max="9990" width="10" style="640" customWidth="1"/>
    <col min="9991" max="9991" width="14.5703125" style="640" customWidth="1"/>
    <col min="9992" max="9992" width="6.140625" style="640" customWidth="1"/>
    <col min="9993" max="9993" width="15.28515625" style="640" customWidth="1"/>
    <col min="9994" max="9999" width="0" style="640" hidden="1" customWidth="1"/>
    <col min="10000" max="10000" width="17.7109375" style="640" customWidth="1"/>
    <col min="10001" max="10001" width="14.5703125" style="640" customWidth="1"/>
    <col min="10002" max="10002" width="16.5703125" style="640" customWidth="1"/>
    <col min="10003" max="10003" width="17" style="640" customWidth="1"/>
    <col min="10004" max="10238" width="9.140625" style="640"/>
    <col min="10239" max="10239" width="25.7109375" style="640" customWidth="1"/>
    <col min="10240" max="10240" width="24.7109375" style="640" customWidth="1"/>
    <col min="10241" max="10242" width="9.140625" style="640"/>
    <col min="10243" max="10243" width="17" style="640" customWidth="1"/>
    <col min="10244" max="10244" width="10.5703125" style="640" customWidth="1"/>
    <col min="10245" max="10245" width="14" style="640" customWidth="1"/>
    <col min="10246" max="10246" width="10" style="640" customWidth="1"/>
    <col min="10247" max="10247" width="14.5703125" style="640" customWidth="1"/>
    <col min="10248" max="10248" width="6.140625" style="640" customWidth="1"/>
    <col min="10249" max="10249" width="15.28515625" style="640" customWidth="1"/>
    <col min="10250" max="10255" width="0" style="640" hidden="1" customWidth="1"/>
    <col min="10256" max="10256" width="17.7109375" style="640" customWidth="1"/>
    <col min="10257" max="10257" width="14.5703125" style="640" customWidth="1"/>
    <col min="10258" max="10258" width="16.5703125" style="640" customWidth="1"/>
    <col min="10259" max="10259" width="17" style="640" customWidth="1"/>
    <col min="10260" max="10494" width="9.140625" style="640"/>
    <col min="10495" max="10495" width="25.7109375" style="640" customWidth="1"/>
    <col min="10496" max="10496" width="24.7109375" style="640" customWidth="1"/>
    <col min="10497" max="10498" width="9.140625" style="640"/>
    <col min="10499" max="10499" width="17" style="640" customWidth="1"/>
    <col min="10500" max="10500" width="10.5703125" style="640" customWidth="1"/>
    <col min="10501" max="10501" width="14" style="640" customWidth="1"/>
    <col min="10502" max="10502" width="10" style="640" customWidth="1"/>
    <col min="10503" max="10503" width="14.5703125" style="640" customWidth="1"/>
    <col min="10504" max="10504" width="6.140625" style="640" customWidth="1"/>
    <col min="10505" max="10505" width="15.28515625" style="640" customWidth="1"/>
    <col min="10506" max="10511" width="0" style="640" hidden="1" customWidth="1"/>
    <col min="10512" max="10512" width="17.7109375" style="640" customWidth="1"/>
    <col min="10513" max="10513" width="14.5703125" style="640" customWidth="1"/>
    <col min="10514" max="10514" width="16.5703125" style="640" customWidth="1"/>
    <col min="10515" max="10515" width="17" style="640" customWidth="1"/>
    <col min="10516" max="10750" width="9.140625" style="640"/>
    <col min="10751" max="10751" width="25.7109375" style="640" customWidth="1"/>
    <col min="10752" max="10752" width="24.7109375" style="640" customWidth="1"/>
    <col min="10753" max="10754" width="9.140625" style="640"/>
    <col min="10755" max="10755" width="17" style="640" customWidth="1"/>
    <col min="10756" max="10756" width="10.5703125" style="640" customWidth="1"/>
    <col min="10757" max="10757" width="14" style="640" customWidth="1"/>
    <col min="10758" max="10758" width="10" style="640" customWidth="1"/>
    <col min="10759" max="10759" width="14.5703125" style="640" customWidth="1"/>
    <col min="10760" max="10760" width="6.140625" style="640" customWidth="1"/>
    <col min="10761" max="10761" width="15.28515625" style="640" customWidth="1"/>
    <col min="10762" max="10767" width="0" style="640" hidden="1" customWidth="1"/>
    <col min="10768" max="10768" width="17.7109375" style="640" customWidth="1"/>
    <col min="10769" max="10769" width="14.5703125" style="640" customWidth="1"/>
    <col min="10770" max="10770" width="16.5703125" style="640" customWidth="1"/>
    <col min="10771" max="10771" width="17" style="640" customWidth="1"/>
    <col min="10772" max="11006" width="9.140625" style="640"/>
    <col min="11007" max="11007" width="25.7109375" style="640" customWidth="1"/>
    <col min="11008" max="11008" width="24.7109375" style="640" customWidth="1"/>
    <col min="11009" max="11010" width="9.140625" style="640"/>
    <col min="11011" max="11011" width="17" style="640" customWidth="1"/>
    <col min="11012" max="11012" width="10.5703125" style="640" customWidth="1"/>
    <col min="11013" max="11013" width="14" style="640" customWidth="1"/>
    <col min="11014" max="11014" width="10" style="640" customWidth="1"/>
    <col min="11015" max="11015" width="14.5703125" style="640" customWidth="1"/>
    <col min="11016" max="11016" width="6.140625" style="640" customWidth="1"/>
    <col min="11017" max="11017" width="15.28515625" style="640" customWidth="1"/>
    <col min="11018" max="11023" width="0" style="640" hidden="1" customWidth="1"/>
    <col min="11024" max="11024" width="17.7109375" style="640" customWidth="1"/>
    <col min="11025" max="11025" width="14.5703125" style="640" customWidth="1"/>
    <col min="11026" max="11026" width="16.5703125" style="640" customWidth="1"/>
    <col min="11027" max="11027" width="17" style="640" customWidth="1"/>
    <col min="11028" max="11262" width="9.140625" style="640"/>
    <col min="11263" max="11263" width="25.7109375" style="640" customWidth="1"/>
    <col min="11264" max="11264" width="24.7109375" style="640" customWidth="1"/>
    <col min="11265" max="11266" width="9.140625" style="640"/>
    <col min="11267" max="11267" width="17" style="640" customWidth="1"/>
    <col min="11268" max="11268" width="10.5703125" style="640" customWidth="1"/>
    <col min="11269" max="11269" width="14" style="640" customWidth="1"/>
    <col min="11270" max="11270" width="10" style="640" customWidth="1"/>
    <col min="11271" max="11271" width="14.5703125" style="640" customWidth="1"/>
    <col min="11272" max="11272" width="6.140625" style="640" customWidth="1"/>
    <col min="11273" max="11273" width="15.28515625" style="640" customWidth="1"/>
    <col min="11274" max="11279" width="0" style="640" hidden="1" customWidth="1"/>
    <col min="11280" max="11280" width="17.7109375" style="640" customWidth="1"/>
    <col min="11281" max="11281" width="14.5703125" style="640" customWidth="1"/>
    <col min="11282" max="11282" width="16.5703125" style="640" customWidth="1"/>
    <col min="11283" max="11283" width="17" style="640" customWidth="1"/>
    <col min="11284" max="11518" width="9.140625" style="640"/>
    <col min="11519" max="11519" width="25.7109375" style="640" customWidth="1"/>
    <col min="11520" max="11520" width="24.7109375" style="640" customWidth="1"/>
    <col min="11521" max="11522" width="9.140625" style="640"/>
    <col min="11523" max="11523" width="17" style="640" customWidth="1"/>
    <col min="11524" max="11524" width="10.5703125" style="640" customWidth="1"/>
    <col min="11525" max="11525" width="14" style="640" customWidth="1"/>
    <col min="11526" max="11526" width="10" style="640" customWidth="1"/>
    <col min="11527" max="11527" width="14.5703125" style="640" customWidth="1"/>
    <col min="11528" max="11528" width="6.140625" style="640" customWidth="1"/>
    <col min="11529" max="11529" width="15.28515625" style="640" customWidth="1"/>
    <col min="11530" max="11535" width="0" style="640" hidden="1" customWidth="1"/>
    <col min="11536" max="11536" width="17.7109375" style="640" customWidth="1"/>
    <col min="11537" max="11537" width="14.5703125" style="640" customWidth="1"/>
    <col min="11538" max="11538" width="16.5703125" style="640" customWidth="1"/>
    <col min="11539" max="11539" width="17" style="640" customWidth="1"/>
    <col min="11540" max="11774" width="9.140625" style="640"/>
    <col min="11775" max="11775" width="25.7109375" style="640" customWidth="1"/>
    <col min="11776" max="11776" width="24.7109375" style="640" customWidth="1"/>
    <col min="11777" max="11778" width="9.140625" style="640"/>
    <col min="11779" max="11779" width="17" style="640" customWidth="1"/>
    <col min="11780" max="11780" width="10.5703125" style="640" customWidth="1"/>
    <col min="11781" max="11781" width="14" style="640" customWidth="1"/>
    <col min="11782" max="11782" width="10" style="640" customWidth="1"/>
    <col min="11783" max="11783" width="14.5703125" style="640" customWidth="1"/>
    <col min="11784" max="11784" width="6.140625" style="640" customWidth="1"/>
    <col min="11785" max="11785" width="15.28515625" style="640" customWidth="1"/>
    <col min="11786" max="11791" width="0" style="640" hidden="1" customWidth="1"/>
    <col min="11792" max="11792" width="17.7109375" style="640" customWidth="1"/>
    <col min="11793" max="11793" width="14.5703125" style="640" customWidth="1"/>
    <col min="11794" max="11794" width="16.5703125" style="640" customWidth="1"/>
    <col min="11795" max="11795" width="17" style="640" customWidth="1"/>
    <col min="11796" max="12030" width="9.140625" style="640"/>
    <col min="12031" max="12031" width="25.7109375" style="640" customWidth="1"/>
    <col min="12032" max="12032" width="24.7109375" style="640" customWidth="1"/>
    <col min="12033" max="12034" width="9.140625" style="640"/>
    <col min="12035" max="12035" width="17" style="640" customWidth="1"/>
    <col min="12036" max="12036" width="10.5703125" style="640" customWidth="1"/>
    <col min="12037" max="12037" width="14" style="640" customWidth="1"/>
    <col min="12038" max="12038" width="10" style="640" customWidth="1"/>
    <col min="12039" max="12039" width="14.5703125" style="640" customWidth="1"/>
    <col min="12040" max="12040" width="6.140625" style="640" customWidth="1"/>
    <col min="12041" max="12041" width="15.28515625" style="640" customWidth="1"/>
    <col min="12042" max="12047" width="0" style="640" hidden="1" customWidth="1"/>
    <col min="12048" max="12048" width="17.7109375" style="640" customWidth="1"/>
    <col min="12049" max="12049" width="14.5703125" style="640" customWidth="1"/>
    <col min="12050" max="12050" width="16.5703125" style="640" customWidth="1"/>
    <col min="12051" max="12051" width="17" style="640" customWidth="1"/>
    <col min="12052" max="12286" width="9.140625" style="640"/>
    <col min="12287" max="12287" width="25.7109375" style="640" customWidth="1"/>
    <col min="12288" max="12288" width="24.7109375" style="640" customWidth="1"/>
    <col min="12289" max="12290" width="9.140625" style="640"/>
    <col min="12291" max="12291" width="17" style="640" customWidth="1"/>
    <col min="12292" max="12292" width="10.5703125" style="640" customWidth="1"/>
    <col min="12293" max="12293" width="14" style="640" customWidth="1"/>
    <col min="12294" max="12294" width="10" style="640" customWidth="1"/>
    <col min="12295" max="12295" width="14.5703125" style="640" customWidth="1"/>
    <col min="12296" max="12296" width="6.140625" style="640" customWidth="1"/>
    <col min="12297" max="12297" width="15.28515625" style="640" customWidth="1"/>
    <col min="12298" max="12303" width="0" style="640" hidden="1" customWidth="1"/>
    <col min="12304" max="12304" width="17.7109375" style="640" customWidth="1"/>
    <col min="12305" max="12305" width="14.5703125" style="640" customWidth="1"/>
    <col min="12306" max="12306" width="16.5703125" style="640" customWidth="1"/>
    <col min="12307" max="12307" width="17" style="640" customWidth="1"/>
    <col min="12308" max="12542" width="9.140625" style="640"/>
    <col min="12543" max="12543" width="25.7109375" style="640" customWidth="1"/>
    <col min="12544" max="12544" width="24.7109375" style="640" customWidth="1"/>
    <col min="12545" max="12546" width="9.140625" style="640"/>
    <col min="12547" max="12547" width="17" style="640" customWidth="1"/>
    <col min="12548" max="12548" width="10.5703125" style="640" customWidth="1"/>
    <col min="12549" max="12549" width="14" style="640" customWidth="1"/>
    <col min="12550" max="12550" width="10" style="640" customWidth="1"/>
    <col min="12551" max="12551" width="14.5703125" style="640" customWidth="1"/>
    <col min="12552" max="12552" width="6.140625" style="640" customWidth="1"/>
    <col min="12553" max="12553" width="15.28515625" style="640" customWidth="1"/>
    <col min="12554" max="12559" width="0" style="640" hidden="1" customWidth="1"/>
    <col min="12560" max="12560" width="17.7109375" style="640" customWidth="1"/>
    <col min="12561" max="12561" width="14.5703125" style="640" customWidth="1"/>
    <col min="12562" max="12562" width="16.5703125" style="640" customWidth="1"/>
    <col min="12563" max="12563" width="17" style="640" customWidth="1"/>
    <col min="12564" max="12798" width="9.140625" style="640"/>
    <col min="12799" max="12799" width="25.7109375" style="640" customWidth="1"/>
    <col min="12800" max="12800" width="24.7109375" style="640" customWidth="1"/>
    <col min="12801" max="12802" width="9.140625" style="640"/>
    <col min="12803" max="12803" width="17" style="640" customWidth="1"/>
    <col min="12804" max="12804" width="10.5703125" style="640" customWidth="1"/>
    <col min="12805" max="12805" width="14" style="640" customWidth="1"/>
    <col min="12806" max="12806" width="10" style="640" customWidth="1"/>
    <col min="12807" max="12807" width="14.5703125" style="640" customWidth="1"/>
    <col min="12808" max="12808" width="6.140625" style="640" customWidth="1"/>
    <col min="12809" max="12809" width="15.28515625" style="640" customWidth="1"/>
    <col min="12810" max="12815" width="0" style="640" hidden="1" customWidth="1"/>
    <col min="12816" max="12816" width="17.7109375" style="640" customWidth="1"/>
    <col min="12817" max="12817" width="14.5703125" style="640" customWidth="1"/>
    <col min="12818" max="12818" width="16.5703125" style="640" customWidth="1"/>
    <col min="12819" max="12819" width="17" style="640" customWidth="1"/>
    <col min="12820" max="13054" width="9.140625" style="640"/>
    <col min="13055" max="13055" width="25.7109375" style="640" customWidth="1"/>
    <col min="13056" max="13056" width="24.7109375" style="640" customWidth="1"/>
    <col min="13057" max="13058" width="9.140625" style="640"/>
    <col min="13059" max="13059" width="17" style="640" customWidth="1"/>
    <col min="13060" max="13060" width="10.5703125" style="640" customWidth="1"/>
    <col min="13061" max="13061" width="14" style="640" customWidth="1"/>
    <col min="13062" max="13062" width="10" style="640" customWidth="1"/>
    <col min="13063" max="13063" width="14.5703125" style="640" customWidth="1"/>
    <col min="13064" max="13064" width="6.140625" style="640" customWidth="1"/>
    <col min="13065" max="13065" width="15.28515625" style="640" customWidth="1"/>
    <col min="13066" max="13071" width="0" style="640" hidden="1" customWidth="1"/>
    <col min="13072" max="13072" width="17.7109375" style="640" customWidth="1"/>
    <col min="13073" max="13073" width="14.5703125" style="640" customWidth="1"/>
    <col min="13074" max="13074" width="16.5703125" style="640" customWidth="1"/>
    <col min="13075" max="13075" width="17" style="640" customWidth="1"/>
    <col min="13076" max="13310" width="9.140625" style="640"/>
    <col min="13311" max="13311" width="25.7109375" style="640" customWidth="1"/>
    <col min="13312" max="13312" width="24.7109375" style="640" customWidth="1"/>
    <col min="13313" max="13314" width="9.140625" style="640"/>
    <col min="13315" max="13315" width="17" style="640" customWidth="1"/>
    <col min="13316" max="13316" width="10.5703125" style="640" customWidth="1"/>
    <col min="13317" max="13317" width="14" style="640" customWidth="1"/>
    <col min="13318" max="13318" width="10" style="640" customWidth="1"/>
    <col min="13319" max="13319" width="14.5703125" style="640" customWidth="1"/>
    <col min="13320" max="13320" width="6.140625" style="640" customWidth="1"/>
    <col min="13321" max="13321" width="15.28515625" style="640" customWidth="1"/>
    <col min="13322" max="13327" width="0" style="640" hidden="1" customWidth="1"/>
    <col min="13328" max="13328" width="17.7109375" style="640" customWidth="1"/>
    <col min="13329" max="13329" width="14.5703125" style="640" customWidth="1"/>
    <col min="13330" max="13330" width="16.5703125" style="640" customWidth="1"/>
    <col min="13331" max="13331" width="17" style="640" customWidth="1"/>
    <col min="13332" max="13566" width="9.140625" style="640"/>
    <col min="13567" max="13567" width="25.7109375" style="640" customWidth="1"/>
    <col min="13568" max="13568" width="24.7109375" style="640" customWidth="1"/>
    <col min="13569" max="13570" width="9.140625" style="640"/>
    <col min="13571" max="13571" width="17" style="640" customWidth="1"/>
    <col min="13572" max="13572" width="10.5703125" style="640" customWidth="1"/>
    <col min="13573" max="13573" width="14" style="640" customWidth="1"/>
    <col min="13574" max="13574" width="10" style="640" customWidth="1"/>
    <col min="13575" max="13575" width="14.5703125" style="640" customWidth="1"/>
    <col min="13576" max="13576" width="6.140625" style="640" customWidth="1"/>
    <col min="13577" max="13577" width="15.28515625" style="640" customWidth="1"/>
    <col min="13578" max="13583" width="0" style="640" hidden="1" customWidth="1"/>
    <col min="13584" max="13584" width="17.7109375" style="640" customWidth="1"/>
    <col min="13585" max="13585" width="14.5703125" style="640" customWidth="1"/>
    <col min="13586" max="13586" width="16.5703125" style="640" customWidth="1"/>
    <col min="13587" max="13587" width="17" style="640" customWidth="1"/>
    <col min="13588" max="13822" width="9.140625" style="640"/>
    <col min="13823" max="13823" width="25.7109375" style="640" customWidth="1"/>
    <col min="13824" max="13824" width="24.7109375" style="640" customWidth="1"/>
    <col min="13825" max="13826" width="9.140625" style="640"/>
    <col min="13827" max="13827" width="17" style="640" customWidth="1"/>
    <col min="13828" max="13828" width="10.5703125" style="640" customWidth="1"/>
    <col min="13829" max="13829" width="14" style="640" customWidth="1"/>
    <col min="13830" max="13830" width="10" style="640" customWidth="1"/>
    <col min="13831" max="13831" width="14.5703125" style="640" customWidth="1"/>
    <col min="13832" max="13832" width="6.140625" style="640" customWidth="1"/>
    <col min="13833" max="13833" width="15.28515625" style="640" customWidth="1"/>
    <col min="13834" max="13839" width="0" style="640" hidden="1" customWidth="1"/>
    <col min="13840" max="13840" width="17.7109375" style="640" customWidth="1"/>
    <col min="13841" max="13841" width="14.5703125" style="640" customWidth="1"/>
    <col min="13842" max="13842" width="16.5703125" style="640" customWidth="1"/>
    <col min="13843" max="13843" width="17" style="640" customWidth="1"/>
    <col min="13844" max="14078" width="9.140625" style="640"/>
    <col min="14079" max="14079" width="25.7109375" style="640" customWidth="1"/>
    <col min="14080" max="14080" width="24.7109375" style="640" customWidth="1"/>
    <col min="14081" max="14082" width="9.140625" style="640"/>
    <col min="14083" max="14083" width="17" style="640" customWidth="1"/>
    <col min="14084" max="14084" width="10.5703125" style="640" customWidth="1"/>
    <col min="14085" max="14085" width="14" style="640" customWidth="1"/>
    <col min="14086" max="14086" width="10" style="640" customWidth="1"/>
    <col min="14087" max="14087" width="14.5703125" style="640" customWidth="1"/>
    <col min="14088" max="14088" width="6.140625" style="640" customWidth="1"/>
    <col min="14089" max="14089" width="15.28515625" style="640" customWidth="1"/>
    <col min="14090" max="14095" width="0" style="640" hidden="1" customWidth="1"/>
    <col min="14096" max="14096" width="17.7109375" style="640" customWidth="1"/>
    <col min="14097" max="14097" width="14.5703125" style="640" customWidth="1"/>
    <col min="14098" max="14098" width="16.5703125" style="640" customWidth="1"/>
    <col min="14099" max="14099" width="17" style="640" customWidth="1"/>
    <col min="14100" max="14334" width="9.140625" style="640"/>
    <col min="14335" max="14335" width="25.7109375" style="640" customWidth="1"/>
    <col min="14336" max="14336" width="24.7109375" style="640" customWidth="1"/>
    <col min="14337" max="14338" width="9.140625" style="640"/>
    <col min="14339" max="14339" width="17" style="640" customWidth="1"/>
    <col min="14340" max="14340" width="10.5703125" style="640" customWidth="1"/>
    <col min="14341" max="14341" width="14" style="640" customWidth="1"/>
    <col min="14342" max="14342" width="10" style="640" customWidth="1"/>
    <col min="14343" max="14343" width="14.5703125" style="640" customWidth="1"/>
    <col min="14344" max="14344" width="6.140625" style="640" customWidth="1"/>
    <col min="14345" max="14345" width="15.28515625" style="640" customWidth="1"/>
    <col min="14346" max="14351" width="0" style="640" hidden="1" customWidth="1"/>
    <col min="14352" max="14352" width="17.7109375" style="640" customWidth="1"/>
    <col min="14353" max="14353" width="14.5703125" style="640" customWidth="1"/>
    <col min="14354" max="14354" width="16.5703125" style="640" customWidth="1"/>
    <col min="14355" max="14355" width="17" style="640" customWidth="1"/>
    <col min="14356" max="14590" width="9.140625" style="640"/>
    <col min="14591" max="14591" width="25.7109375" style="640" customWidth="1"/>
    <col min="14592" max="14592" width="24.7109375" style="640" customWidth="1"/>
    <col min="14593" max="14594" width="9.140625" style="640"/>
    <col min="14595" max="14595" width="17" style="640" customWidth="1"/>
    <col min="14596" max="14596" width="10.5703125" style="640" customWidth="1"/>
    <col min="14597" max="14597" width="14" style="640" customWidth="1"/>
    <col min="14598" max="14598" width="10" style="640" customWidth="1"/>
    <col min="14599" max="14599" width="14.5703125" style="640" customWidth="1"/>
    <col min="14600" max="14600" width="6.140625" style="640" customWidth="1"/>
    <col min="14601" max="14601" width="15.28515625" style="640" customWidth="1"/>
    <col min="14602" max="14607" width="0" style="640" hidden="1" customWidth="1"/>
    <col min="14608" max="14608" width="17.7109375" style="640" customWidth="1"/>
    <col min="14609" max="14609" width="14.5703125" style="640" customWidth="1"/>
    <col min="14610" max="14610" width="16.5703125" style="640" customWidth="1"/>
    <col min="14611" max="14611" width="17" style="640" customWidth="1"/>
    <col min="14612" max="14846" width="9.140625" style="640"/>
    <col min="14847" max="14847" width="25.7109375" style="640" customWidth="1"/>
    <col min="14848" max="14848" width="24.7109375" style="640" customWidth="1"/>
    <col min="14849" max="14850" width="9.140625" style="640"/>
    <col min="14851" max="14851" width="17" style="640" customWidth="1"/>
    <col min="14852" max="14852" width="10.5703125" style="640" customWidth="1"/>
    <col min="14853" max="14853" width="14" style="640" customWidth="1"/>
    <col min="14854" max="14854" width="10" style="640" customWidth="1"/>
    <col min="14855" max="14855" width="14.5703125" style="640" customWidth="1"/>
    <col min="14856" max="14856" width="6.140625" style="640" customWidth="1"/>
    <col min="14857" max="14857" width="15.28515625" style="640" customWidth="1"/>
    <col min="14858" max="14863" width="0" style="640" hidden="1" customWidth="1"/>
    <col min="14864" max="14864" width="17.7109375" style="640" customWidth="1"/>
    <col min="14865" max="14865" width="14.5703125" style="640" customWidth="1"/>
    <col min="14866" max="14866" width="16.5703125" style="640" customWidth="1"/>
    <col min="14867" max="14867" width="17" style="640" customWidth="1"/>
    <col min="14868" max="15102" width="9.140625" style="640"/>
    <col min="15103" max="15103" width="25.7109375" style="640" customWidth="1"/>
    <col min="15104" max="15104" width="24.7109375" style="640" customWidth="1"/>
    <col min="15105" max="15106" width="9.140625" style="640"/>
    <col min="15107" max="15107" width="17" style="640" customWidth="1"/>
    <col min="15108" max="15108" width="10.5703125" style="640" customWidth="1"/>
    <col min="15109" max="15109" width="14" style="640" customWidth="1"/>
    <col min="15110" max="15110" width="10" style="640" customWidth="1"/>
    <col min="15111" max="15111" width="14.5703125" style="640" customWidth="1"/>
    <col min="15112" max="15112" width="6.140625" style="640" customWidth="1"/>
    <col min="15113" max="15113" width="15.28515625" style="640" customWidth="1"/>
    <col min="15114" max="15119" width="0" style="640" hidden="1" customWidth="1"/>
    <col min="15120" max="15120" width="17.7109375" style="640" customWidth="1"/>
    <col min="15121" max="15121" width="14.5703125" style="640" customWidth="1"/>
    <col min="15122" max="15122" width="16.5703125" style="640" customWidth="1"/>
    <col min="15123" max="15123" width="17" style="640" customWidth="1"/>
    <col min="15124" max="15358" width="9.140625" style="640"/>
    <col min="15359" max="15359" width="25.7109375" style="640" customWidth="1"/>
    <col min="15360" max="15360" width="24.7109375" style="640" customWidth="1"/>
    <col min="15361" max="15362" width="9.140625" style="640"/>
    <col min="15363" max="15363" width="17" style="640" customWidth="1"/>
    <col min="15364" max="15364" width="10.5703125" style="640" customWidth="1"/>
    <col min="15365" max="15365" width="14" style="640" customWidth="1"/>
    <col min="15366" max="15366" width="10" style="640" customWidth="1"/>
    <col min="15367" max="15367" width="14.5703125" style="640" customWidth="1"/>
    <col min="15368" max="15368" width="6.140625" style="640" customWidth="1"/>
    <col min="15369" max="15369" width="15.28515625" style="640" customWidth="1"/>
    <col min="15370" max="15375" width="0" style="640" hidden="1" customWidth="1"/>
    <col min="15376" max="15376" width="17.7109375" style="640" customWidth="1"/>
    <col min="15377" max="15377" width="14.5703125" style="640" customWidth="1"/>
    <col min="15378" max="15378" width="16.5703125" style="640" customWidth="1"/>
    <col min="15379" max="15379" width="17" style="640" customWidth="1"/>
    <col min="15380" max="15614" width="9.140625" style="640"/>
    <col min="15615" max="15615" width="25.7109375" style="640" customWidth="1"/>
    <col min="15616" max="15616" width="24.7109375" style="640" customWidth="1"/>
    <col min="15617" max="15618" width="9.140625" style="640"/>
    <col min="15619" max="15619" width="17" style="640" customWidth="1"/>
    <col min="15620" max="15620" width="10.5703125" style="640" customWidth="1"/>
    <col min="15621" max="15621" width="14" style="640" customWidth="1"/>
    <col min="15622" max="15622" width="10" style="640" customWidth="1"/>
    <col min="15623" max="15623" width="14.5703125" style="640" customWidth="1"/>
    <col min="15624" max="15624" width="6.140625" style="640" customWidth="1"/>
    <col min="15625" max="15625" width="15.28515625" style="640" customWidth="1"/>
    <col min="15626" max="15631" width="0" style="640" hidden="1" customWidth="1"/>
    <col min="15632" max="15632" width="17.7109375" style="640" customWidth="1"/>
    <col min="15633" max="15633" width="14.5703125" style="640" customWidth="1"/>
    <col min="15634" max="15634" width="16.5703125" style="640" customWidth="1"/>
    <col min="15635" max="15635" width="17" style="640" customWidth="1"/>
    <col min="15636" max="15870" width="9.140625" style="640"/>
    <col min="15871" max="15871" width="25.7109375" style="640" customWidth="1"/>
    <col min="15872" max="15872" width="24.7109375" style="640" customWidth="1"/>
    <col min="15873" max="15874" width="9.140625" style="640"/>
    <col min="15875" max="15875" width="17" style="640" customWidth="1"/>
    <col min="15876" max="15876" width="10.5703125" style="640" customWidth="1"/>
    <col min="15877" max="15877" width="14" style="640" customWidth="1"/>
    <col min="15878" max="15878" width="10" style="640" customWidth="1"/>
    <col min="15879" max="15879" width="14.5703125" style="640" customWidth="1"/>
    <col min="15880" max="15880" width="6.140625" style="640" customWidth="1"/>
    <col min="15881" max="15881" width="15.28515625" style="640" customWidth="1"/>
    <col min="15882" max="15887" width="0" style="640" hidden="1" customWidth="1"/>
    <col min="15888" max="15888" width="17.7109375" style="640" customWidth="1"/>
    <col min="15889" max="15889" width="14.5703125" style="640" customWidth="1"/>
    <col min="15890" max="15890" width="16.5703125" style="640" customWidth="1"/>
    <col min="15891" max="15891" width="17" style="640" customWidth="1"/>
    <col min="15892" max="16126" width="9.140625" style="640"/>
    <col min="16127" max="16127" width="25.7109375" style="640" customWidth="1"/>
    <col min="16128" max="16128" width="24.7109375" style="640" customWidth="1"/>
    <col min="16129" max="16130" width="9.140625" style="640"/>
    <col min="16131" max="16131" width="17" style="640" customWidth="1"/>
    <col min="16132" max="16132" width="10.5703125" style="640" customWidth="1"/>
    <col min="16133" max="16133" width="14" style="640" customWidth="1"/>
    <col min="16134" max="16134" width="10" style="640" customWidth="1"/>
    <col min="16135" max="16135" width="14.5703125" style="640" customWidth="1"/>
    <col min="16136" max="16136" width="6.140625" style="640" customWidth="1"/>
    <col min="16137" max="16137" width="15.28515625" style="640" customWidth="1"/>
    <col min="16138" max="16143" width="0" style="640" hidden="1" customWidth="1"/>
    <col min="16144" max="16144" width="17.7109375" style="640" customWidth="1"/>
    <col min="16145" max="16145" width="14.5703125" style="640" customWidth="1"/>
    <col min="16146" max="16146" width="16.5703125" style="640" customWidth="1"/>
    <col min="16147" max="16147" width="17" style="640" customWidth="1"/>
    <col min="16148" max="16384" width="9.140625" style="640"/>
  </cols>
  <sheetData>
    <row r="1" spans="1:29" ht="15.75" x14ac:dyDescent="0.25">
      <c r="P1" s="640" t="s">
        <v>959</v>
      </c>
      <c r="V1" s="642"/>
    </row>
    <row r="2" spans="1:29" ht="23.25" x14ac:dyDescent="0.25">
      <c r="C2" s="644"/>
      <c r="G2" s="645"/>
      <c r="H2" s="645"/>
      <c r="P2" s="640" t="s">
        <v>960</v>
      </c>
    </row>
    <row r="3" spans="1:29" x14ac:dyDescent="0.25">
      <c r="P3" s="640" t="s">
        <v>961</v>
      </c>
    </row>
    <row r="5" spans="1:29" ht="18.75" x14ac:dyDescent="0.25">
      <c r="G5" s="646"/>
      <c r="H5" s="646"/>
    </row>
    <row r="6" spans="1:29" x14ac:dyDescent="0.25">
      <c r="Q6" s="1066" t="s">
        <v>962</v>
      </c>
      <c r="R6" s="1067"/>
      <c r="Z6" s="640" t="s">
        <v>963</v>
      </c>
    </row>
    <row r="7" spans="1:29" x14ac:dyDescent="0.25">
      <c r="P7" s="647" t="s">
        <v>964</v>
      </c>
      <c r="Q7" s="1068" t="s">
        <v>965</v>
      </c>
      <c r="R7" s="1069"/>
    </row>
    <row r="8" spans="1:29" ht="18.75" x14ac:dyDescent="0.25">
      <c r="A8" s="648" t="s">
        <v>966</v>
      </c>
      <c r="B8" s="648"/>
      <c r="E8" s="648"/>
      <c r="F8" s="648"/>
      <c r="P8" s="647" t="s">
        <v>967</v>
      </c>
      <c r="Q8" s="1066">
        <v>24824378</v>
      </c>
      <c r="R8" s="1067"/>
    </row>
    <row r="9" spans="1:29" x14ac:dyDescent="0.25">
      <c r="D9" s="640" t="s">
        <v>968</v>
      </c>
    </row>
    <row r="10" spans="1:29" ht="45" x14ac:dyDescent="0.25">
      <c r="I10" s="649" t="s">
        <v>969</v>
      </c>
      <c r="J10" s="649" t="s">
        <v>970</v>
      </c>
    </row>
    <row r="11" spans="1:29" x14ac:dyDescent="0.25">
      <c r="D11" s="640" t="s">
        <v>971</v>
      </c>
      <c r="I11" s="650">
        <v>4</v>
      </c>
      <c r="J11" s="651">
        <v>43677</v>
      </c>
      <c r="L11" s="640" t="s">
        <v>972</v>
      </c>
    </row>
    <row r="12" spans="1:29" x14ac:dyDescent="0.25">
      <c r="L12" s="640" t="s">
        <v>973</v>
      </c>
    </row>
    <row r="13" spans="1:29" s="652" customFormat="1" ht="18.75" x14ac:dyDescent="0.25">
      <c r="C13" s="653" t="s">
        <v>974</v>
      </c>
      <c r="H13" s="652">
        <v>1.0429999999999999</v>
      </c>
      <c r="L13" s="640" t="s">
        <v>975</v>
      </c>
      <c r="U13" s="654"/>
      <c r="W13" s="813"/>
      <c r="X13" s="655"/>
      <c r="AA13" s="652" t="s">
        <v>704</v>
      </c>
      <c r="AB13" s="652">
        <v>12130</v>
      </c>
    </row>
    <row r="14" spans="1:29" s="652" customFormat="1" ht="6.75" customHeight="1" x14ac:dyDescent="0.25">
      <c r="C14" s="653"/>
      <c r="L14" s="640"/>
      <c r="U14" s="654"/>
      <c r="W14" s="813"/>
      <c r="X14" s="655"/>
    </row>
    <row r="15" spans="1:29" s="657" customFormat="1" ht="15.75" customHeight="1" x14ac:dyDescent="0.25">
      <c r="A15" s="1057" t="s">
        <v>976</v>
      </c>
      <c r="B15" s="656"/>
      <c r="C15" s="1059" t="s">
        <v>977</v>
      </c>
      <c r="D15" s="1057" t="s">
        <v>978</v>
      </c>
      <c r="E15" s="1057" t="s">
        <v>979</v>
      </c>
      <c r="F15" s="656"/>
      <c r="G15" s="1056" t="s">
        <v>980</v>
      </c>
      <c r="H15" s="1057" t="s">
        <v>981</v>
      </c>
      <c r="I15" s="1056" t="s">
        <v>982</v>
      </c>
      <c r="J15" s="1056"/>
      <c r="K15" s="1056"/>
      <c r="L15" s="1056"/>
      <c r="M15" s="1056"/>
      <c r="N15" s="1056"/>
      <c r="O15" s="1056" t="s">
        <v>983</v>
      </c>
      <c r="P15" s="1056"/>
      <c r="Q15" s="1056"/>
      <c r="R15" s="1056"/>
      <c r="S15" s="1056"/>
      <c r="T15" s="1056"/>
      <c r="U15" s="1070" t="s">
        <v>937</v>
      </c>
      <c r="V15" s="1056" t="s">
        <v>984</v>
      </c>
      <c r="W15" s="1054" t="s">
        <v>45</v>
      </c>
      <c r="X15" s="1061" t="s">
        <v>985</v>
      </c>
      <c r="Z15" s="1057" t="s">
        <v>986</v>
      </c>
      <c r="AB15" s="657" t="s">
        <v>987</v>
      </c>
      <c r="AC15" s="658" t="s">
        <v>988</v>
      </c>
    </row>
    <row r="16" spans="1:29" s="657" customFormat="1" ht="36" customHeight="1" x14ac:dyDescent="0.25">
      <c r="A16" s="1058"/>
      <c r="B16" s="659"/>
      <c r="C16" s="1059"/>
      <c r="D16" s="1060"/>
      <c r="E16" s="1060"/>
      <c r="F16" s="660"/>
      <c r="G16" s="1056"/>
      <c r="H16" s="1060"/>
      <c r="I16" s="1055" t="s">
        <v>989</v>
      </c>
      <c r="J16" s="1055"/>
      <c r="K16" s="1055" t="s">
        <v>990</v>
      </c>
      <c r="L16" s="1055"/>
      <c r="M16" s="1056" t="s">
        <v>991</v>
      </c>
      <c r="N16" s="1056"/>
      <c r="O16" s="1056" t="s">
        <v>992</v>
      </c>
      <c r="P16" s="1056"/>
      <c r="Q16" s="1056" t="s">
        <v>993</v>
      </c>
      <c r="R16" s="1056"/>
      <c r="S16" s="1056" t="s">
        <v>994</v>
      </c>
      <c r="T16" s="1056"/>
      <c r="U16" s="1070"/>
      <c r="V16" s="1056"/>
      <c r="W16" s="1054"/>
      <c r="X16" s="1062"/>
      <c r="Z16" s="1064"/>
      <c r="AB16" s="657" t="s">
        <v>995</v>
      </c>
      <c r="AC16" s="658" t="s">
        <v>996</v>
      </c>
    </row>
    <row r="17" spans="1:29" s="653" customFormat="1" ht="15.75" x14ac:dyDescent="0.25">
      <c r="A17" s="661" t="s">
        <v>997</v>
      </c>
      <c r="B17" s="662"/>
      <c r="C17" s="1059"/>
      <c r="D17" s="1058"/>
      <c r="E17" s="1058"/>
      <c r="F17" s="663"/>
      <c r="G17" s="1056"/>
      <c r="H17" s="1058"/>
      <c r="I17" s="663" t="s">
        <v>998</v>
      </c>
      <c r="J17" s="663" t="s">
        <v>999</v>
      </c>
      <c r="K17" s="663" t="s">
        <v>998</v>
      </c>
      <c r="L17" s="663" t="s">
        <v>999</v>
      </c>
      <c r="M17" s="663" t="s">
        <v>1000</v>
      </c>
      <c r="N17" s="663" t="s">
        <v>999</v>
      </c>
      <c r="O17" s="663" t="s">
        <v>1000</v>
      </c>
      <c r="P17" s="663" t="s">
        <v>999</v>
      </c>
      <c r="Q17" s="663" t="s">
        <v>1000</v>
      </c>
      <c r="R17" s="663" t="s">
        <v>999</v>
      </c>
      <c r="S17" s="663" t="s">
        <v>1000</v>
      </c>
      <c r="T17" s="663" t="s">
        <v>999</v>
      </c>
      <c r="U17" s="1070"/>
      <c r="V17" s="1056"/>
      <c r="W17" s="1054"/>
      <c r="X17" s="1063"/>
      <c r="Z17" s="1065"/>
      <c r="AB17" s="657">
        <v>2.2000000000000002</v>
      </c>
      <c r="AC17" s="664" t="s">
        <v>1001</v>
      </c>
    </row>
    <row r="18" spans="1:29" s="669" customFormat="1" ht="11.25" x14ac:dyDescent="0.25">
      <c r="A18" s="665" t="s">
        <v>1002</v>
      </c>
      <c r="B18" s="666"/>
      <c r="C18" s="666" t="s">
        <v>1003</v>
      </c>
      <c r="D18" s="665" t="s">
        <v>1004</v>
      </c>
      <c r="E18" s="666" t="s">
        <v>1005</v>
      </c>
      <c r="F18" s="666"/>
      <c r="G18" s="665" t="s">
        <v>1006</v>
      </c>
      <c r="H18" s="666"/>
      <c r="I18" s="666" t="s">
        <v>1007</v>
      </c>
      <c r="J18" s="665" t="s">
        <v>1008</v>
      </c>
      <c r="K18" s="666" t="s">
        <v>1009</v>
      </c>
      <c r="L18" s="665" t="s">
        <v>1010</v>
      </c>
      <c r="M18" s="666" t="s">
        <v>1011</v>
      </c>
      <c r="N18" s="665" t="s">
        <v>1012</v>
      </c>
      <c r="O18" s="666" t="s">
        <v>1013</v>
      </c>
      <c r="P18" s="665" t="s">
        <v>1014</v>
      </c>
      <c r="Q18" s="666" t="s">
        <v>1015</v>
      </c>
      <c r="R18" s="665" t="s">
        <v>1016</v>
      </c>
      <c r="S18" s="666" t="s">
        <v>1017</v>
      </c>
      <c r="T18" s="665" t="s">
        <v>1018</v>
      </c>
      <c r="U18" s="667" t="s">
        <v>1019</v>
      </c>
      <c r="V18" s="665" t="s">
        <v>1020</v>
      </c>
      <c r="W18" s="814" t="s">
        <v>1021</v>
      </c>
      <c r="X18" s="668">
        <v>21</v>
      </c>
      <c r="Z18" s="666"/>
    </row>
    <row r="19" spans="1:29" s="653" customFormat="1" ht="15.75" x14ac:dyDescent="0.25">
      <c r="A19" s="661"/>
      <c r="B19" s="670"/>
      <c r="C19" s="671" t="s">
        <v>1022</v>
      </c>
      <c r="D19" s="672">
        <v>1</v>
      </c>
      <c r="E19" s="673"/>
      <c r="F19" s="673"/>
      <c r="G19" s="674">
        <v>33800</v>
      </c>
      <c r="H19" s="674">
        <f>G19*$H$13</f>
        <v>35253.399999999994</v>
      </c>
      <c r="I19" s="674"/>
      <c r="J19" s="675">
        <f t="shared" ref="J19:J82" si="0">ROUND((H19*I19),2)</f>
        <v>0</v>
      </c>
      <c r="K19" s="674"/>
      <c r="L19" s="674">
        <f t="shared" ref="L19:L82" si="1">ROUND(((H19+J19)*K19),2)</f>
        <v>0</v>
      </c>
      <c r="M19" s="676">
        <v>15</v>
      </c>
      <c r="N19" s="674">
        <f t="shared" ref="N19:N82" si="2">ROUND(((H19+J19)/100*M19),2)</f>
        <v>5288.01</v>
      </c>
      <c r="O19" s="676"/>
      <c r="P19" s="674">
        <f t="shared" ref="P19:P82" si="3">ROUND(((H19+J19)/100*O19),2)</f>
        <v>0</v>
      </c>
      <c r="Q19" s="676">
        <v>15</v>
      </c>
      <c r="R19" s="674">
        <f t="shared" ref="R19:R82" si="4">ROUND(((H19+J19+L19+N19+P19)/100*Q19),2)</f>
        <v>6081.21</v>
      </c>
      <c r="S19" s="677">
        <v>50</v>
      </c>
      <c r="T19" s="678">
        <f t="shared" ref="T19:T82" si="5">ROUND(((H19+J19+L19+N19+P19)/100*S19),2)</f>
        <v>20270.71</v>
      </c>
      <c r="U19" s="679">
        <f t="shared" ref="U19:U82" si="6">H19+J19+L19+N19+P19+R19+T19</f>
        <v>66893.329999999987</v>
      </c>
      <c r="V19" s="678">
        <f t="shared" ref="V19:V82" si="7">ROUND(((H19+J19)*0.25/100*(Q19+S19+100)),2)</f>
        <v>14542.03</v>
      </c>
      <c r="W19" s="815">
        <f>U19+V19</f>
        <v>81435.359999999986</v>
      </c>
      <c r="X19" s="680">
        <f>-W19*13/100+U19+V19</f>
        <v>70848.763199999987</v>
      </c>
      <c r="Z19" s="670" t="s">
        <v>673</v>
      </c>
    </row>
    <row r="20" spans="1:29" s="653" customFormat="1" ht="16.5" thickBot="1" x14ac:dyDescent="0.3">
      <c r="A20" s="681"/>
      <c r="B20" s="682"/>
      <c r="C20" s="683" t="s">
        <v>1023</v>
      </c>
      <c r="D20" s="684">
        <v>1</v>
      </c>
      <c r="E20" s="685"/>
      <c r="F20" s="685"/>
      <c r="G20" s="686">
        <f>G19*0.85</f>
        <v>28730</v>
      </c>
      <c r="H20" s="674">
        <f t="shared" ref="H20:H83" si="8">G20*$H$13</f>
        <v>29965.39</v>
      </c>
      <c r="I20" s="686"/>
      <c r="J20" s="686">
        <f t="shared" si="0"/>
        <v>0</v>
      </c>
      <c r="K20" s="686"/>
      <c r="L20" s="687">
        <f t="shared" si="1"/>
        <v>0</v>
      </c>
      <c r="M20" s="688">
        <v>15</v>
      </c>
      <c r="N20" s="687">
        <f t="shared" si="2"/>
        <v>4494.8100000000004</v>
      </c>
      <c r="O20" s="688"/>
      <c r="P20" s="687">
        <f t="shared" si="3"/>
        <v>0</v>
      </c>
      <c r="Q20" s="688">
        <v>15</v>
      </c>
      <c r="R20" s="687">
        <f t="shared" si="4"/>
        <v>5169.03</v>
      </c>
      <c r="S20" s="689">
        <v>50</v>
      </c>
      <c r="T20" s="690">
        <f t="shared" si="5"/>
        <v>17230.099999999999</v>
      </c>
      <c r="U20" s="691">
        <f t="shared" si="6"/>
        <v>56859.329999999994</v>
      </c>
      <c r="V20" s="690">
        <f t="shared" si="7"/>
        <v>12360.72</v>
      </c>
      <c r="W20" s="816">
        <f>U20+V20</f>
        <v>69220.049999999988</v>
      </c>
      <c r="X20" s="692">
        <f t="shared" ref="X20:X101" si="9">-W20*13/100+U20+V20</f>
        <v>60221.443499999994</v>
      </c>
      <c r="Z20" s="693" t="s">
        <v>1024</v>
      </c>
    </row>
    <row r="21" spans="1:29" s="653" customFormat="1" ht="63.75" x14ac:dyDescent="0.25">
      <c r="A21" s="694"/>
      <c r="B21" s="695"/>
      <c r="C21" s="696" t="s">
        <v>1025</v>
      </c>
      <c r="D21" s="697">
        <v>1</v>
      </c>
      <c r="E21" s="698"/>
      <c r="F21" s="699" t="s">
        <v>478</v>
      </c>
      <c r="G21" s="700">
        <v>21000</v>
      </c>
      <c r="H21" s="674">
        <f t="shared" si="8"/>
        <v>21903</v>
      </c>
      <c r="I21" s="700"/>
      <c r="J21" s="700">
        <f t="shared" si="0"/>
        <v>0</v>
      </c>
      <c r="K21" s="700"/>
      <c r="L21" s="701">
        <f t="shared" si="1"/>
        <v>0</v>
      </c>
      <c r="M21" s="702">
        <v>15</v>
      </c>
      <c r="N21" s="701">
        <f t="shared" si="2"/>
        <v>3285.45</v>
      </c>
      <c r="O21" s="702"/>
      <c r="P21" s="701">
        <f t="shared" si="3"/>
        <v>0</v>
      </c>
      <c r="Q21" s="702">
        <v>15</v>
      </c>
      <c r="R21" s="701">
        <f t="shared" si="4"/>
        <v>3778.27</v>
      </c>
      <c r="S21" s="703">
        <v>50</v>
      </c>
      <c r="T21" s="704">
        <f t="shared" si="5"/>
        <v>12594.23</v>
      </c>
      <c r="U21" s="705">
        <f t="shared" si="6"/>
        <v>41560.949999999997</v>
      </c>
      <c r="V21" s="704">
        <f t="shared" si="7"/>
        <v>9034.99</v>
      </c>
      <c r="W21" s="817">
        <f t="shared" ref="W21:W84" si="10">U21+V21</f>
        <v>50595.939999999995</v>
      </c>
      <c r="X21" s="706">
        <f t="shared" si="9"/>
        <v>44018.467799999991</v>
      </c>
      <c r="Y21" s="707"/>
      <c r="Z21" s="708" t="s">
        <v>1026</v>
      </c>
    </row>
    <row r="22" spans="1:29" s="653" customFormat="1" ht="60.75" customHeight="1" thickBot="1" x14ac:dyDescent="0.3">
      <c r="A22" s="709"/>
      <c r="B22" s="710"/>
      <c r="C22" s="711" t="s">
        <v>1027</v>
      </c>
      <c r="D22" s="712">
        <v>1</v>
      </c>
      <c r="E22" s="713"/>
      <c r="F22" s="713"/>
      <c r="G22" s="714">
        <v>21000</v>
      </c>
      <c r="H22" s="674">
        <f t="shared" si="8"/>
        <v>21903</v>
      </c>
      <c r="I22" s="714"/>
      <c r="J22" s="714">
        <f t="shared" si="0"/>
        <v>0</v>
      </c>
      <c r="K22" s="714"/>
      <c r="L22" s="715">
        <f t="shared" si="1"/>
        <v>0</v>
      </c>
      <c r="M22" s="716">
        <v>15</v>
      </c>
      <c r="N22" s="715">
        <f t="shared" si="2"/>
        <v>3285.45</v>
      </c>
      <c r="O22" s="716"/>
      <c r="P22" s="715">
        <f t="shared" si="3"/>
        <v>0</v>
      </c>
      <c r="Q22" s="716">
        <v>15</v>
      </c>
      <c r="R22" s="715">
        <f t="shared" si="4"/>
        <v>3778.27</v>
      </c>
      <c r="S22" s="717">
        <v>50</v>
      </c>
      <c r="T22" s="718">
        <f t="shared" si="5"/>
        <v>12594.23</v>
      </c>
      <c r="U22" s="719">
        <f t="shared" si="6"/>
        <v>41560.949999999997</v>
      </c>
      <c r="V22" s="718">
        <f t="shared" si="7"/>
        <v>9034.99</v>
      </c>
      <c r="W22" s="818">
        <f t="shared" si="10"/>
        <v>50595.939999999995</v>
      </c>
      <c r="X22" s="720">
        <f t="shared" si="9"/>
        <v>44018.467799999991</v>
      </c>
      <c r="Y22" s="721"/>
      <c r="Z22" s="722" t="s">
        <v>1028</v>
      </c>
    </row>
    <row r="23" spans="1:29" s="653" customFormat="1" ht="16.5" customHeight="1" x14ac:dyDescent="0.25">
      <c r="A23" s="1045" t="s">
        <v>1029</v>
      </c>
      <c r="B23" s="723"/>
      <c r="C23" s="724" t="s">
        <v>1030</v>
      </c>
      <c r="D23" s="725">
        <v>1</v>
      </c>
      <c r="E23" s="726" t="s">
        <v>1031</v>
      </c>
      <c r="F23" s="727" t="s">
        <v>1032</v>
      </c>
      <c r="G23" s="728">
        <v>11440</v>
      </c>
      <c r="H23" s="674">
        <f t="shared" si="8"/>
        <v>11931.92</v>
      </c>
      <c r="I23" s="728">
        <v>0.05</v>
      </c>
      <c r="J23" s="728">
        <f t="shared" si="0"/>
        <v>596.6</v>
      </c>
      <c r="K23" s="728">
        <v>0.9</v>
      </c>
      <c r="L23" s="729">
        <f t="shared" si="1"/>
        <v>11275.67</v>
      </c>
      <c r="M23" s="730">
        <v>15</v>
      </c>
      <c r="N23" s="729">
        <f t="shared" si="2"/>
        <v>1879.28</v>
      </c>
      <c r="O23" s="730"/>
      <c r="P23" s="729">
        <f t="shared" si="3"/>
        <v>0</v>
      </c>
      <c r="Q23" s="730">
        <v>15</v>
      </c>
      <c r="R23" s="729">
        <f t="shared" si="4"/>
        <v>3852.52</v>
      </c>
      <c r="S23" s="731">
        <v>50</v>
      </c>
      <c r="T23" s="732">
        <f t="shared" si="5"/>
        <v>12841.74</v>
      </c>
      <c r="U23" s="733">
        <f t="shared" si="6"/>
        <v>42377.73</v>
      </c>
      <c r="V23" s="732">
        <f t="shared" si="7"/>
        <v>5168.01</v>
      </c>
      <c r="W23" s="819">
        <f t="shared" si="10"/>
        <v>47545.740000000005</v>
      </c>
      <c r="X23" s="734">
        <f t="shared" si="9"/>
        <v>41364.793800000007</v>
      </c>
      <c r="Z23" s="735" t="s">
        <v>1033</v>
      </c>
      <c r="AB23" s="736"/>
    </row>
    <row r="24" spans="1:29" s="653" customFormat="1" ht="16.5" customHeight="1" x14ac:dyDescent="0.25">
      <c r="A24" s="1046"/>
      <c r="B24" s="737"/>
      <c r="C24" s="738" t="s">
        <v>1034</v>
      </c>
      <c r="D24" s="739">
        <v>1</v>
      </c>
      <c r="E24" s="740" t="s">
        <v>1035</v>
      </c>
      <c r="F24" s="727" t="s">
        <v>1032</v>
      </c>
      <c r="G24" s="675">
        <v>8736</v>
      </c>
      <c r="H24" s="674">
        <f t="shared" si="8"/>
        <v>9111.6479999999992</v>
      </c>
      <c r="I24" s="675">
        <v>0.02</v>
      </c>
      <c r="J24" s="675">
        <f t="shared" si="0"/>
        <v>182.23</v>
      </c>
      <c r="K24" s="675">
        <v>0.42</v>
      </c>
      <c r="L24" s="674">
        <f t="shared" si="1"/>
        <v>3903.43</v>
      </c>
      <c r="M24" s="741">
        <v>15</v>
      </c>
      <c r="N24" s="674">
        <f t="shared" si="2"/>
        <v>1394.08</v>
      </c>
      <c r="O24" s="741"/>
      <c r="P24" s="674">
        <f t="shared" si="3"/>
        <v>0</v>
      </c>
      <c r="Q24" s="741">
        <v>15</v>
      </c>
      <c r="R24" s="674">
        <f t="shared" si="4"/>
        <v>2188.71</v>
      </c>
      <c r="S24" s="742">
        <v>50</v>
      </c>
      <c r="T24" s="678">
        <f t="shared" si="5"/>
        <v>7295.69</v>
      </c>
      <c r="U24" s="679">
        <f t="shared" si="6"/>
        <v>24075.787999999997</v>
      </c>
      <c r="V24" s="678">
        <f t="shared" si="7"/>
        <v>3833.72</v>
      </c>
      <c r="W24" s="815">
        <f t="shared" si="10"/>
        <v>27909.507999999998</v>
      </c>
      <c r="X24" s="743">
        <f t="shared" si="9"/>
        <v>24281.271959999998</v>
      </c>
      <c r="Z24" s="670" t="s">
        <v>1036</v>
      </c>
      <c r="AA24" s="744">
        <f>$AB$13*$AB$15</f>
        <v>20014.5</v>
      </c>
      <c r="AB24" s="744"/>
    </row>
    <row r="25" spans="1:29" s="653" customFormat="1" ht="16.5" customHeight="1" x14ac:dyDescent="0.25">
      <c r="A25" s="1047"/>
      <c r="B25" s="737"/>
      <c r="C25" s="738" t="s">
        <v>1037</v>
      </c>
      <c r="D25" s="739">
        <v>1</v>
      </c>
      <c r="E25" s="740" t="s">
        <v>1035</v>
      </c>
      <c r="F25" s="727" t="s">
        <v>1032</v>
      </c>
      <c r="G25" s="675">
        <v>8736</v>
      </c>
      <c r="H25" s="674">
        <f t="shared" si="8"/>
        <v>9111.6479999999992</v>
      </c>
      <c r="I25" s="675">
        <v>0.02</v>
      </c>
      <c r="J25" s="675">
        <f t="shared" si="0"/>
        <v>182.23</v>
      </c>
      <c r="K25" s="675">
        <v>1.25</v>
      </c>
      <c r="L25" s="674">
        <f t="shared" si="1"/>
        <v>11617.35</v>
      </c>
      <c r="M25" s="741">
        <v>15</v>
      </c>
      <c r="N25" s="674">
        <f t="shared" si="2"/>
        <v>1394.08</v>
      </c>
      <c r="O25" s="741"/>
      <c r="P25" s="674">
        <f t="shared" si="3"/>
        <v>0</v>
      </c>
      <c r="Q25" s="741">
        <v>15</v>
      </c>
      <c r="R25" s="674">
        <f t="shared" si="4"/>
        <v>3345.8</v>
      </c>
      <c r="S25" s="742">
        <v>50</v>
      </c>
      <c r="T25" s="678">
        <f t="shared" si="5"/>
        <v>11152.65</v>
      </c>
      <c r="U25" s="679">
        <f t="shared" si="6"/>
        <v>36803.757999999994</v>
      </c>
      <c r="V25" s="678">
        <f t="shared" si="7"/>
        <v>3833.72</v>
      </c>
      <c r="W25" s="815">
        <f t="shared" si="10"/>
        <v>40637.477999999996</v>
      </c>
      <c r="X25" s="743">
        <f t="shared" si="9"/>
        <v>35354.605859999996</v>
      </c>
      <c r="Z25" s="670" t="s">
        <v>1038</v>
      </c>
      <c r="AA25" s="744">
        <f t="shared" ref="AA25:AA88" si="11">$AB$13*$AB$15</f>
        <v>20014.5</v>
      </c>
      <c r="AB25" s="744"/>
    </row>
    <row r="26" spans="1:29" s="653" customFormat="1" ht="24.75" customHeight="1" x14ac:dyDescent="0.25">
      <c r="A26" s="1047"/>
      <c r="B26" s="737"/>
      <c r="C26" s="671" t="s">
        <v>1039</v>
      </c>
      <c r="D26" s="672">
        <v>1</v>
      </c>
      <c r="E26" s="673" t="s">
        <v>1040</v>
      </c>
      <c r="F26" s="745" t="s">
        <v>1032</v>
      </c>
      <c r="G26" s="674">
        <v>7488</v>
      </c>
      <c r="H26" s="674">
        <f t="shared" si="8"/>
        <v>7809.9839999999995</v>
      </c>
      <c r="I26" s="674">
        <v>0.01</v>
      </c>
      <c r="J26" s="674">
        <f t="shared" si="0"/>
        <v>78.099999999999994</v>
      </c>
      <c r="K26" s="674">
        <v>0.2</v>
      </c>
      <c r="L26" s="674">
        <f t="shared" si="1"/>
        <v>1577.62</v>
      </c>
      <c r="M26" s="676">
        <v>15</v>
      </c>
      <c r="N26" s="674">
        <f t="shared" si="2"/>
        <v>1183.21</v>
      </c>
      <c r="O26" s="676"/>
      <c r="P26" s="674">
        <f t="shared" si="3"/>
        <v>0</v>
      </c>
      <c r="Q26" s="676">
        <v>15</v>
      </c>
      <c r="R26" s="674">
        <f t="shared" si="4"/>
        <v>1597.34</v>
      </c>
      <c r="S26" s="677">
        <v>50</v>
      </c>
      <c r="T26" s="678">
        <f t="shared" si="5"/>
        <v>5324.46</v>
      </c>
      <c r="U26" s="678">
        <f t="shared" si="6"/>
        <v>17570.714</v>
      </c>
      <c r="V26" s="678">
        <f t="shared" si="7"/>
        <v>3253.83</v>
      </c>
      <c r="W26" s="815">
        <f t="shared" si="10"/>
        <v>20824.544000000002</v>
      </c>
      <c r="X26" s="680">
        <f t="shared" si="9"/>
        <v>18117.353279999999</v>
      </c>
      <c r="Z26" s="693" t="s">
        <v>1041</v>
      </c>
      <c r="AA26" s="744">
        <f t="shared" si="11"/>
        <v>20014.5</v>
      </c>
      <c r="AB26" s="744"/>
    </row>
    <row r="27" spans="1:29" s="653" customFormat="1" ht="16.5" customHeight="1" x14ac:dyDescent="0.25">
      <c r="A27" s="1047"/>
      <c r="B27" s="737"/>
      <c r="C27" s="738" t="s">
        <v>1042</v>
      </c>
      <c r="D27" s="739">
        <v>1</v>
      </c>
      <c r="E27" s="740" t="s">
        <v>1040</v>
      </c>
      <c r="F27" s="727" t="s">
        <v>1043</v>
      </c>
      <c r="G27" s="675">
        <v>4056</v>
      </c>
      <c r="H27" s="674">
        <f t="shared" si="8"/>
        <v>4230.4079999999994</v>
      </c>
      <c r="I27" s="675">
        <v>0.01</v>
      </c>
      <c r="J27" s="675">
        <f t="shared" si="0"/>
        <v>42.3</v>
      </c>
      <c r="K27" s="675">
        <v>0.97</v>
      </c>
      <c r="L27" s="674">
        <f t="shared" si="1"/>
        <v>4144.53</v>
      </c>
      <c r="M27" s="741">
        <v>15</v>
      </c>
      <c r="N27" s="674">
        <f t="shared" si="2"/>
        <v>640.91</v>
      </c>
      <c r="O27" s="741"/>
      <c r="P27" s="674">
        <f t="shared" si="3"/>
        <v>0</v>
      </c>
      <c r="Q27" s="741">
        <v>15</v>
      </c>
      <c r="R27" s="674">
        <f t="shared" si="4"/>
        <v>1358.72</v>
      </c>
      <c r="S27" s="742">
        <v>50</v>
      </c>
      <c r="T27" s="678">
        <f t="shared" si="5"/>
        <v>4529.07</v>
      </c>
      <c r="U27" s="679">
        <f t="shared" si="6"/>
        <v>14945.937999999998</v>
      </c>
      <c r="V27" s="678">
        <f t="shared" si="7"/>
        <v>1762.49</v>
      </c>
      <c r="W27" s="815">
        <f t="shared" si="10"/>
        <v>16708.428</v>
      </c>
      <c r="X27" s="743">
        <f t="shared" si="9"/>
        <v>14536.332359999999</v>
      </c>
      <c r="Y27" s="744"/>
      <c r="Z27" s="670" t="s">
        <v>1044</v>
      </c>
      <c r="AA27" s="744">
        <f t="shared" si="11"/>
        <v>20014.5</v>
      </c>
      <c r="AB27" s="744">
        <f t="shared" ref="AB27:AB33" si="12">AA27-W27</f>
        <v>3306.0720000000001</v>
      </c>
    </row>
    <row r="28" spans="1:29" s="653" customFormat="1" ht="16.5" customHeight="1" x14ac:dyDescent="0.25">
      <c r="A28" s="1047"/>
      <c r="B28" s="737"/>
      <c r="C28" s="738" t="s">
        <v>1045</v>
      </c>
      <c r="D28" s="739">
        <v>1</v>
      </c>
      <c r="E28" s="740" t="s">
        <v>1040</v>
      </c>
      <c r="F28" s="727" t="s">
        <v>1032</v>
      </c>
      <c r="G28" s="675">
        <v>4056</v>
      </c>
      <c r="H28" s="674">
        <f t="shared" si="8"/>
        <v>4230.4079999999994</v>
      </c>
      <c r="I28" s="675">
        <v>0.01</v>
      </c>
      <c r="J28" s="675">
        <f t="shared" si="0"/>
        <v>42.3</v>
      </c>
      <c r="K28" s="675">
        <v>0.71</v>
      </c>
      <c r="L28" s="674">
        <f t="shared" si="1"/>
        <v>3033.62</v>
      </c>
      <c r="M28" s="741">
        <v>15</v>
      </c>
      <c r="N28" s="674">
        <f t="shared" si="2"/>
        <v>640.91</v>
      </c>
      <c r="O28" s="741">
        <v>10</v>
      </c>
      <c r="P28" s="674">
        <f t="shared" si="3"/>
        <v>427.27</v>
      </c>
      <c r="Q28" s="741">
        <v>15</v>
      </c>
      <c r="R28" s="674">
        <f t="shared" si="4"/>
        <v>1256.18</v>
      </c>
      <c r="S28" s="742">
        <v>50</v>
      </c>
      <c r="T28" s="678">
        <f t="shared" si="5"/>
        <v>4187.25</v>
      </c>
      <c r="U28" s="679">
        <f t="shared" si="6"/>
        <v>13817.938</v>
      </c>
      <c r="V28" s="678">
        <f t="shared" si="7"/>
        <v>1762.49</v>
      </c>
      <c r="W28" s="815">
        <f t="shared" si="10"/>
        <v>15580.428</v>
      </c>
      <c r="X28" s="743">
        <f t="shared" si="9"/>
        <v>13554.97236</v>
      </c>
      <c r="Y28" s="744"/>
      <c r="Z28" s="693" t="s">
        <v>1046</v>
      </c>
      <c r="AA28" s="744">
        <f t="shared" si="11"/>
        <v>20014.5</v>
      </c>
      <c r="AB28" s="744">
        <f t="shared" si="12"/>
        <v>4434.0720000000001</v>
      </c>
    </row>
    <row r="29" spans="1:29" s="653" customFormat="1" ht="16.5" customHeight="1" x14ac:dyDescent="0.25">
      <c r="A29" s="1047"/>
      <c r="B29" s="737"/>
      <c r="C29" s="738" t="s">
        <v>1045</v>
      </c>
      <c r="D29" s="739">
        <v>1</v>
      </c>
      <c r="E29" s="740" t="s">
        <v>1040</v>
      </c>
      <c r="F29" s="727" t="s">
        <v>1032</v>
      </c>
      <c r="G29" s="675">
        <v>4056</v>
      </c>
      <c r="H29" s="674">
        <f t="shared" si="8"/>
        <v>4230.4079999999994</v>
      </c>
      <c r="I29" s="675">
        <v>0.01</v>
      </c>
      <c r="J29" s="675">
        <f t="shared" si="0"/>
        <v>42.3</v>
      </c>
      <c r="K29" s="675">
        <v>0.71</v>
      </c>
      <c r="L29" s="674">
        <f t="shared" si="1"/>
        <v>3033.62</v>
      </c>
      <c r="M29" s="741">
        <v>15</v>
      </c>
      <c r="N29" s="674">
        <f t="shared" si="2"/>
        <v>640.91</v>
      </c>
      <c r="O29" s="741">
        <v>10</v>
      </c>
      <c r="P29" s="674">
        <f t="shared" si="3"/>
        <v>427.27</v>
      </c>
      <c r="Q29" s="741">
        <v>15</v>
      </c>
      <c r="R29" s="674">
        <f t="shared" si="4"/>
        <v>1256.18</v>
      </c>
      <c r="S29" s="742">
        <v>50</v>
      </c>
      <c r="T29" s="678">
        <f t="shared" si="5"/>
        <v>4187.25</v>
      </c>
      <c r="U29" s="679">
        <f t="shared" si="6"/>
        <v>13817.938</v>
      </c>
      <c r="V29" s="678">
        <f t="shared" si="7"/>
        <v>1762.49</v>
      </c>
      <c r="W29" s="815">
        <f t="shared" si="10"/>
        <v>15580.428</v>
      </c>
      <c r="X29" s="743">
        <f t="shared" si="9"/>
        <v>13554.97236</v>
      </c>
      <c r="Y29" s="744"/>
      <c r="Z29" s="670" t="s">
        <v>1047</v>
      </c>
      <c r="AA29" s="744">
        <f t="shared" si="11"/>
        <v>20014.5</v>
      </c>
      <c r="AB29" s="744">
        <f t="shared" si="12"/>
        <v>4434.0720000000001</v>
      </c>
    </row>
    <row r="30" spans="1:29" s="653" customFormat="1" ht="16.5" customHeight="1" x14ac:dyDescent="0.25">
      <c r="A30" s="1047"/>
      <c r="B30" s="737"/>
      <c r="C30" s="738" t="s">
        <v>1045</v>
      </c>
      <c r="D30" s="739">
        <v>1</v>
      </c>
      <c r="E30" s="740" t="s">
        <v>1040</v>
      </c>
      <c r="F30" s="727" t="s">
        <v>1032</v>
      </c>
      <c r="G30" s="675">
        <v>4056</v>
      </c>
      <c r="H30" s="674">
        <f t="shared" si="8"/>
        <v>4230.4079999999994</v>
      </c>
      <c r="I30" s="675">
        <v>0.01</v>
      </c>
      <c r="J30" s="675">
        <f t="shared" si="0"/>
        <v>42.3</v>
      </c>
      <c r="K30" s="675">
        <v>0.28000000000000003</v>
      </c>
      <c r="L30" s="674">
        <f t="shared" si="1"/>
        <v>1196.3599999999999</v>
      </c>
      <c r="M30" s="741">
        <v>15</v>
      </c>
      <c r="N30" s="674">
        <f t="shared" si="2"/>
        <v>640.91</v>
      </c>
      <c r="O30" s="741">
        <v>10</v>
      </c>
      <c r="P30" s="674">
        <f t="shared" si="3"/>
        <v>427.27</v>
      </c>
      <c r="Q30" s="741">
        <v>15</v>
      </c>
      <c r="R30" s="674">
        <f t="shared" si="4"/>
        <v>980.59</v>
      </c>
      <c r="S30" s="742">
        <v>50</v>
      </c>
      <c r="T30" s="678">
        <f t="shared" si="5"/>
        <v>3268.62</v>
      </c>
      <c r="U30" s="679">
        <f t="shared" si="6"/>
        <v>10786.457999999999</v>
      </c>
      <c r="V30" s="678">
        <f t="shared" si="7"/>
        <v>1762.49</v>
      </c>
      <c r="W30" s="815">
        <f t="shared" si="10"/>
        <v>12548.947999999999</v>
      </c>
      <c r="X30" s="743">
        <f t="shared" si="9"/>
        <v>10917.584759999998</v>
      </c>
      <c r="Y30" s="744"/>
      <c r="Z30" s="670" t="s">
        <v>1048</v>
      </c>
      <c r="AA30" s="744">
        <f t="shared" si="11"/>
        <v>20014.5</v>
      </c>
      <c r="AB30" s="744">
        <f t="shared" si="12"/>
        <v>7465.5520000000015</v>
      </c>
    </row>
    <row r="31" spans="1:29" s="653" customFormat="1" ht="16.5" customHeight="1" x14ac:dyDescent="0.25">
      <c r="A31" s="1047"/>
      <c r="B31" s="737"/>
      <c r="C31" s="738" t="s">
        <v>1045</v>
      </c>
      <c r="D31" s="739">
        <v>1</v>
      </c>
      <c r="E31" s="740" t="s">
        <v>1040</v>
      </c>
      <c r="F31" s="727" t="s">
        <v>1032</v>
      </c>
      <c r="G31" s="675">
        <v>4056</v>
      </c>
      <c r="H31" s="674">
        <f t="shared" si="8"/>
        <v>4230.4079999999994</v>
      </c>
      <c r="I31" s="675">
        <v>0.01</v>
      </c>
      <c r="J31" s="675">
        <f t="shared" si="0"/>
        <v>42.3</v>
      </c>
      <c r="K31" s="675">
        <v>0.36</v>
      </c>
      <c r="L31" s="674">
        <f t="shared" si="1"/>
        <v>1538.17</v>
      </c>
      <c r="M31" s="741">
        <v>15</v>
      </c>
      <c r="N31" s="674">
        <f t="shared" si="2"/>
        <v>640.91</v>
      </c>
      <c r="O31" s="741">
        <v>10</v>
      </c>
      <c r="P31" s="674">
        <f t="shared" si="3"/>
        <v>427.27</v>
      </c>
      <c r="Q31" s="741">
        <v>15</v>
      </c>
      <c r="R31" s="674">
        <f t="shared" si="4"/>
        <v>1031.8599999999999</v>
      </c>
      <c r="S31" s="742">
        <v>50</v>
      </c>
      <c r="T31" s="678">
        <f t="shared" si="5"/>
        <v>3439.53</v>
      </c>
      <c r="U31" s="679">
        <f t="shared" si="6"/>
        <v>11350.447999999999</v>
      </c>
      <c r="V31" s="678">
        <f t="shared" si="7"/>
        <v>1762.49</v>
      </c>
      <c r="W31" s="815">
        <f t="shared" si="10"/>
        <v>13112.937999999998</v>
      </c>
      <c r="X31" s="743">
        <f t="shared" si="9"/>
        <v>11408.256059999998</v>
      </c>
      <c r="Y31" s="744">
        <f>SUM(H23:H33)</f>
        <v>67578.055999999968</v>
      </c>
      <c r="Z31" s="735" t="s">
        <v>1049</v>
      </c>
      <c r="AA31" s="744">
        <f t="shared" si="11"/>
        <v>20014.5</v>
      </c>
      <c r="AB31" s="744">
        <f t="shared" si="12"/>
        <v>6901.5620000000017</v>
      </c>
    </row>
    <row r="32" spans="1:29" s="653" customFormat="1" ht="16.5" customHeight="1" x14ac:dyDescent="0.25">
      <c r="A32" s="1047"/>
      <c r="B32" s="737"/>
      <c r="C32" s="738" t="s">
        <v>1045</v>
      </c>
      <c r="D32" s="739">
        <v>1</v>
      </c>
      <c r="E32" s="740" t="s">
        <v>1040</v>
      </c>
      <c r="F32" s="727" t="s">
        <v>1032</v>
      </c>
      <c r="G32" s="675">
        <v>4056</v>
      </c>
      <c r="H32" s="674">
        <f t="shared" si="8"/>
        <v>4230.4079999999994</v>
      </c>
      <c r="I32" s="675">
        <v>0.01</v>
      </c>
      <c r="J32" s="675">
        <f t="shared" si="0"/>
        <v>42.3</v>
      </c>
      <c r="K32" s="675">
        <v>0.31</v>
      </c>
      <c r="L32" s="674">
        <f t="shared" si="1"/>
        <v>1324.54</v>
      </c>
      <c r="M32" s="741">
        <v>15</v>
      </c>
      <c r="N32" s="674">
        <f t="shared" si="2"/>
        <v>640.91</v>
      </c>
      <c r="O32" s="741">
        <v>10</v>
      </c>
      <c r="P32" s="674">
        <f t="shared" si="3"/>
        <v>427.27</v>
      </c>
      <c r="Q32" s="741">
        <v>15</v>
      </c>
      <c r="R32" s="674">
        <f t="shared" si="4"/>
        <v>999.81</v>
      </c>
      <c r="S32" s="742">
        <v>50</v>
      </c>
      <c r="T32" s="678">
        <f t="shared" si="5"/>
        <v>3332.71</v>
      </c>
      <c r="U32" s="679">
        <f t="shared" si="6"/>
        <v>10997.948</v>
      </c>
      <c r="V32" s="678">
        <f t="shared" si="7"/>
        <v>1762.49</v>
      </c>
      <c r="W32" s="815">
        <f t="shared" si="10"/>
        <v>12760.438</v>
      </c>
      <c r="X32" s="743">
        <f t="shared" si="9"/>
        <v>11101.58106</v>
      </c>
      <c r="Y32" s="744">
        <f>SUM(AB23:AB33)</f>
        <v>38017.974000000009</v>
      </c>
      <c r="Z32" s="670" t="s">
        <v>1050</v>
      </c>
      <c r="AA32" s="744">
        <f t="shared" si="11"/>
        <v>20014.5</v>
      </c>
      <c r="AB32" s="744">
        <f t="shared" si="12"/>
        <v>7254.0619999999999</v>
      </c>
    </row>
    <row r="33" spans="1:29" s="653" customFormat="1" ht="16.5" customHeight="1" thickBot="1" x14ac:dyDescent="0.3">
      <c r="A33" s="1048"/>
      <c r="B33" s="682"/>
      <c r="C33" s="683" t="s">
        <v>1051</v>
      </c>
      <c r="D33" s="684">
        <v>1</v>
      </c>
      <c r="E33" s="685" t="s">
        <v>1040</v>
      </c>
      <c r="F33" s="727" t="s">
        <v>1043</v>
      </c>
      <c r="G33" s="686">
        <v>4056</v>
      </c>
      <c r="H33" s="674">
        <f t="shared" si="8"/>
        <v>4230.4079999999994</v>
      </c>
      <c r="I33" s="686">
        <v>0.01</v>
      </c>
      <c r="J33" s="686">
        <f t="shared" si="0"/>
        <v>42.3</v>
      </c>
      <c r="K33" s="686">
        <v>0.84</v>
      </c>
      <c r="L33" s="687">
        <f t="shared" si="1"/>
        <v>3589.07</v>
      </c>
      <c r="M33" s="688">
        <v>15</v>
      </c>
      <c r="N33" s="687">
        <f t="shared" si="2"/>
        <v>640.91</v>
      </c>
      <c r="O33" s="688"/>
      <c r="P33" s="687">
        <f t="shared" si="3"/>
        <v>0</v>
      </c>
      <c r="Q33" s="688">
        <v>15</v>
      </c>
      <c r="R33" s="687">
        <f t="shared" si="4"/>
        <v>1275.4000000000001</v>
      </c>
      <c r="S33" s="689">
        <v>50</v>
      </c>
      <c r="T33" s="690">
        <f t="shared" si="5"/>
        <v>4251.34</v>
      </c>
      <c r="U33" s="691">
        <f t="shared" si="6"/>
        <v>14029.428</v>
      </c>
      <c r="V33" s="690">
        <f t="shared" si="7"/>
        <v>1762.49</v>
      </c>
      <c r="W33" s="816">
        <f t="shared" si="10"/>
        <v>15791.918</v>
      </c>
      <c r="X33" s="692">
        <f t="shared" si="9"/>
        <v>13738.96866</v>
      </c>
      <c r="Y33" s="744">
        <f>SUM(W23:W33)</f>
        <v>239000.796</v>
      </c>
      <c r="Z33" s="693"/>
      <c r="AA33" s="744">
        <f t="shared" si="11"/>
        <v>20014.5</v>
      </c>
      <c r="AB33" s="744">
        <f t="shared" si="12"/>
        <v>4222.5820000000003</v>
      </c>
    </row>
    <row r="34" spans="1:29" s="653" customFormat="1" ht="30" customHeight="1" x14ac:dyDescent="0.25">
      <c r="A34" s="1049" t="s">
        <v>1052</v>
      </c>
      <c r="B34" s="695"/>
      <c r="C34" s="696" t="s">
        <v>1053</v>
      </c>
      <c r="D34" s="697">
        <v>1</v>
      </c>
      <c r="E34" s="698" t="s">
        <v>1054</v>
      </c>
      <c r="F34" s="699" t="s">
        <v>478</v>
      </c>
      <c r="G34" s="700">
        <v>10400</v>
      </c>
      <c r="H34" s="674">
        <f t="shared" si="8"/>
        <v>10847.199999999999</v>
      </c>
      <c r="I34" s="700">
        <v>0.04</v>
      </c>
      <c r="J34" s="700">
        <f t="shared" si="0"/>
        <v>433.89</v>
      </c>
      <c r="K34" s="700">
        <v>0.6</v>
      </c>
      <c r="L34" s="701">
        <f t="shared" si="1"/>
        <v>6768.65</v>
      </c>
      <c r="M34" s="702">
        <v>15</v>
      </c>
      <c r="N34" s="701">
        <f t="shared" si="2"/>
        <v>1692.16</v>
      </c>
      <c r="O34" s="702"/>
      <c r="P34" s="701">
        <f t="shared" si="3"/>
        <v>0</v>
      </c>
      <c r="Q34" s="702">
        <v>15</v>
      </c>
      <c r="R34" s="701">
        <f t="shared" si="4"/>
        <v>2961.29</v>
      </c>
      <c r="S34" s="703">
        <v>50</v>
      </c>
      <c r="T34" s="704">
        <f t="shared" si="5"/>
        <v>9870.9500000000007</v>
      </c>
      <c r="U34" s="705">
        <f t="shared" si="6"/>
        <v>32574.14</v>
      </c>
      <c r="V34" s="704">
        <f t="shared" si="7"/>
        <v>4653.45</v>
      </c>
      <c r="W34" s="817">
        <f t="shared" si="10"/>
        <v>37227.589999999997</v>
      </c>
      <c r="X34" s="706">
        <f t="shared" si="9"/>
        <v>32388.0033</v>
      </c>
      <c r="Y34" s="746"/>
      <c r="Z34" s="708" t="s">
        <v>1055</v>
      </c>
      <c r="AA34" s="744">
        <f t="shared" si="11"/>
        <v>20014.5</v>
      </c>
      <c r="AB34" s="744"/>
    </row>
    <row r="35" spans="1:29" s="653" customFormat="1" ht="30" customHeight="1" thickBot="1" x14ac:dyDescent="0.3">
      <c r="A35" s="1050"/>
      <c r="B35" s="747"/>
      <c r="C35" s="748" t="s">
        <v>1053</v>
      </c>
      <c r="D35" s="684">
        <v>1</v>
      </c>
      <c r="E35" s="685" t="s">
        <v>1054</v>
      </c>
      <c r="F35" s="749" t="s">
        <v>478</v>
      </c>
      <c r="G35" s="686">
        <v>10400</v>
      </c>
      <c r="H35" s="687">
        <f t="shared" si="8"/>
        <v>10847.199999999999</v>
      </c>
      <c r="I35" s="686">
        <v>0.04</v>
      </c>
      <c r="J35" s="686">
        <f t="shared" si="0"/>
        <v>433.89</v>
      </c>
      <c r="K35" s="686">
        <v>0.6</v>
      </c>
      <c r="L35" s="687">
        <f t="shared" si="1"/>
        <v>6768.65</v>
      </c>
      <c r="M35" s="688">
        <v>15</v>
      </c>
      <c r="N35" s="687">
        <f t="shared" si="2"/>
        <v>1692.16</v>
      </c>
      <c r="O35" s="688"/>
      <c r="P35" s="687">
        <f t="shared" si="3"/>
        <v>0</v>
      </c>
      <c r="Q35" s="688">
        <v>15</v>
      </c>
      <c r="R35" s="687">
        <f t="shared" si="4"/>
        <v>2961.29</v>
      </c>
      <c r="S35" s="689">
        <v>50</v>
      </c>
      <c r="T35" s="690">
        <f t="shared" si="5"/>
        <v>9870.9500000000007</v>
      </c>
      <c r="U35" s="691">
        <f t="shared" si="6"/>
        <v>32574.14</v>
      </c>
      <c r="V35" s="690">
        <f t="shared" si="7"/>
        <v>4653.45</v>
      </c>
      <c r="W35" s="816">
        <f t="shared" si="10"/>
        <v>37227.589999999997</v>
      </c>
      <c r="X35" s="692">
        <f t="shared" si="9"/>
        <v>32388.0033</v>
      </c>
      <c r="Y35" s="750"/>
      <c r="Z35" s="751"/>
      <c r="AA35" s="744">
        <f t="shared" si="11"/>
        <v>20014.5</v>
      </c>
      <c r="AB35" s="744"/>
    </row>
    <row r="36" spans="1:29" s="653" customFormat="1" ht="16.5" customHeight="1" x14ac:dyDescent="0.25">
      <c r="A36" s="1049" t="s">
        <v>682</v>
      </c>
      <c r="B36" s="695"/>
      <c r="C36" s="696" t="s">
        <v>1030</v>
      </c>
      <c r="D36" s="697">
        <v>1</v>
      </c>
      <c r="E36" s="698" t="s">
        <v>1056</v>
      </c>
      <c r="F36" s="752" t="s">
        <v>1032</v>
      </c>
      <c r="G36" s="700">
        <v>11440</v>
      </c>
      <c r="H36" s="701">
        <f t="shared" si="8"/>
        <v>11931.92</v>
      </c>
      <c r="I36" s="700">
        <v>0.01</v>
      </c>
      <c r="J36" s="700">
        <f t="shared" si="0"/>
        <v>119.32</v>
      </c>
      <c r="K36" s="700">
        <v>0.86</v>
      </c>
      <c r="L36" s="701">
        <f t="shared" si="1"/>
        <v>10364.07</v>
      </c>
      <c r="M36" s="702">
        <v>15</v>
      </c>
      <c r="N36" s="701">
        <f t="shared" si="2"/>
        <v>1807.69</v>
      </c>
      <c r="O36" s="702"/>
      <c r="P36" s="701">
        <f t="shared" si="3"/>
        <v>0</v>
      </c>
      <c r="Q36" s="702">
        <v>15</v>
      </c>
      <c r="R36" s="701">
        <f t="shared" si="4"/>
        <v>3633.45</v>
      </c>
      <c r="S36" s="703">
        <v>50</v>
      </c>
      <c r="T36" s="704">
        <f t="shared" si="5"/>
        <v>12111.5</v>
      </c>
      <c r="U36" s="705">
        <f t="shared" si="6"/>
        <v>39967.949999999997</v>
      </c>
      <c r="V36" s="704">
        <f t="shared" si="7"/>
        <v>4971.1400000000003</v>
      </c>
      <c r="W36" s="817">
        <f t="shared" si="10"/>
        <v>44939.09</v>
      </c>
      <c r="X36" s="706">
        <f t="shared" si="9"/>
        <v>39097.008300000001</v>
      </c>
      <c r="Y36" s="746"/>
      <c r="Z36" s="708"/>
      <c r="AA36" s="744">
        <f t="shared" si="11"/>
        <v>20014.5</v>
      </c>
      <c r="AB36" s="744"/>
    </row>
    <row r="37" spans="1:29" s="653" customFormat="1" ht="16.5" customHeight="1" x14ac:dyDescent="0.25">
      <c r="A37" s="1051"/>
      <c r="B37" s="753"/>
      <c r="C37" s="754" t="s">
        <v>1057</v>
      </c>
      <c r="D37" s="739">
        <v>1</v>
      </c>
      <c r="E37" s="740" t="s">
        <v>1054</v>
      </c>
      <c r="F37" s="727" t="s">
        <v>1032</v>
      </c>
      <c r="G37" s="675">
        <v>10400</v>
      </c>
      <c r="H37" s="674">
        <f t="shared" si="8"/>
        <v>10847.199999999999</v>
      </c>
      <c r="I37" s="675">
        <v>0.04</v>
      </c>
      <c r="J37" s="675">
        <f t="shared" si="0"/>
        <v>433.89</v>
      </c>
      <c r="K37" s="675">
        <v>0.6</v>
      </c>
      <c r="L37" s="674">
        <f t="shared" si="1"/>
        <v>6768.65</v>
      </c>
      <c r="M37" s="741">
        <v>15</v>
      </c>
      <c r="N37" s="674">
        <f t="shared" si="2"/>
        <v>1692.16</v>
      </c>
      <c r="O37" s="741"/>
      <c r="P37" s="674">
        <f t="shared" si="3"/>
        <v>0</v>
      </c>
      <c r="Q37" s="741">
        <v>15</v>
      </c>
      <c r="R37" s="674">
        <f t="shared" si="4"/>
        <v>2961.29</v>
      </c>
      <c r="S37" s="742">
        <v>50</v>
      </c>
      <c r="T37" s="678">
        <f t="shared" si="5"/>
        <v>9870.9500000000007</v>
      </c>
      <c r="U37" s="679">
        <f t="shared" si="6"/>
        <v>32574.14</v>
      </c>
      <c r="V37" s="678">
        <f t="shared" si="7"/>
        <v>4653.45</v>
      </c>
      <c r="W37" s="815">
        <f t="shared" si="10"/>
        <v>37227.589999999997</v>
      </c>
      <c r="X37" s="743">
        <f t="shared" si="9"/>
        <v>32388.0033</v>
      </c>
      <c r="Y37" s="750"/>
      <c r="Z37" s="755"/>
      <c r="AA37" s="744">
        <f t="shared" si="11"/>
        <v>20014.5</v>
      </c>
      <c r="AB37" s="744"/>
    </row>
    <row r="38" spans="1:29" s="653" customFormat="1" ht="16.5" customHeight="1" x14ac:dyDescent="0.25">
      <c r="A38" s="1051"/>
      <c r="B38" s="753"/>
      <c r="C38" s="754" t="s">
        <v>1057</v>
      </c>
      <c r="D38" s="739">
        <v>1</v>
      </c>
      <c r="E38" s="740" t="s">
        <v>1054</v>
      </c>
      <c r="F38" s="727" t="s">
        <v>1032</v>
      </c>
      <c r="G38" s="675">
        <v>10400</v>
      </c>
      <c r="H38" s="674">
        <f t="shared" si="8"/>
        <v>10847.199999999999</v>
      </c>
      <c r="I38" s="675">
        <v>0.04</v>
      </c>
      <c r="J38" s="675">
        <f t="shared" si="0"/>
        <v>433.89</v>
      </c>
      <c r="K38" s="675">
        <v>0.6</v>
      </c>
      <c r="L38" s="674">
        <f t="shared" si="1"/>
        <v>6768.65</v>
      </c>
      <c r="M38" s="741">
        <v>15</v>
      </c>
      <c r="N38" s="674">
        <f t="shared" si="2"/>
        <v>1692.16</v>
      </c>
      <c r="O38" s="741"/>
      <c r="P38" s="674">
        <f t="shared" si="3"/>
        <v>0</v>
      </c>
      <c r="Q38" s="741">
        <v>15</v>
      </c>
      <c r="R38" s="674">
        <f t="shared" si="4"/>
        <v>2961.29</v>
      </c>
      <c r="S38" s="742">
        <v>50</v>
      </c>
      <c r="T38" s="678">
        <f t="shared" si="5"/>
        <v>9870.9500000000007</v>
      </c>
      <c r="U38" s="679">
        <f t="shared" si="6"/>
        <v>32574.14</v>
      </c>
      <c r="V38" s="678">
        <f t="shared" si="7"/>
        <v>4653.45</v>
      </c>
      <c r="W38" s="815">
        <f t="shared" si="10"/>
        <v>37227.589999999997</v>
      </c>
      <c r="X38" s="743">
        <f t="shared" si="9"/>
        <v>32388.0033</v>
      </c>
      <c r="Y38" s="756"/>
      <c r="Z38" s="755"/>
      <c r="AA38" s="744">
        <f t="shared" si="11"/>
        <v>20014.5</v>
      </c>
      <c r="AB38" s="744"/>
    </row>
    <row r="39" spans="1:29" s="653" customFormat="1" ht="16.5" customHeight="1" x14ac:dyDescent="0.25">
      <c r="A39" s="1051"/>
      <c r="B39" s="753"/>
      <c r="C39" s="754" t="s">
        <v>1053</v>
      </c>
      <c r="D39" s="739">
        <v>1</v>
      </c>
      <c r="E39" s="740" t="s">
        <v>1054</v>
      </c>
      <c r="F39" s="727" t="s">
        <v>1032</v>
      </c>
      <c r="G39" s="675">
        <v>10400</v>
      </c>
      <c r="H39" s="674">
        <f t="shared" si="8"/>
        <v>10847.199999999999</v>
      </c>
      <c r="I39" s="675">
        <v>0.04</v>
      </c>
      <c r="J39" s="675">
        <f t="shared" si="0"/>
        <v>433.89</v>
      </c>
      <c r="K39" s="675">
        <v>0.6</v>
      </c>
      <c r="L39" s="674">
        <f t="shared" si="1"/>
        <v>6768.65</v>
      </c>
      <c r="M39" s="741">
        <v>15</v>
      </c>
      <c r="N39" s="674">
        <f t="shared" si="2"/>
        <v>1692.16</v>
      </c>
      <c r="O39" s="741"/>
      <c r="P39" s="674">
        <f t="shared" si="3"/>
        <v>0</v>
      </c>
      <c r="Q39" s="741">
        <v>15</v>
      </c>
      <c r="R39" s="674">
        <f t="shared" si="4"/>
        <v>2961.29</v>
      </c>
      <c r="S39" s="742">
        <v>50</v>
      </c>
      <c r="T39" s="678">
        <f t="shared" si="5"/>
        <v>9870.9500000000007</v>
      </c>
      <c r="U39" s="679">
        <f t="shared" si="6"/>
        <v>32574.14</v>
      </c>
      <c r="V39" s="678">
        <f t="shared" si="7"/>
        <v>4653.45</v>
      </c>
      <c r="W39" s="815">
        <f t="shared" si="10"/>
        <v>37227.589999999997</v>
      </c>
      <c r="X39" s="743">
        <f t="shared" si="9"/>
        <v>32388.0033</v>
      </c>
      <c r="Y39" s="756"/>
      <c r="Z39" s="755" t="s">
        <v>1058</v>
      </c>
      <c r="AA39" s="744">
        <f t="shared" si="11"/>
        <v>20014.5</v>
      </c>
      <c r="AB39" s="744"/>
    </row>
    <row r="40" spans="1:29" s="653" customFormat="1" ht="16.5" customHeight="1" x14ac:dyDescent="0.25">
      <c r="A40" s="1051"/>
      <c r="B40" s="753"/>
      <c r="C40" s="754" t="s">
        <v>1053</v>
      </c>
      <c r="D40" s="739">
        <v>1</v>
      </c>
      <c r="E40" s="740" t="s">
        <v>1054</v>
      </c>
      <c r="F40" s="727" t="s">
        <v>1032</v>
      </c>
      <c r="G40" s="675">
        <v>10400</v>
      </c>
      <c r="H40" s="674">
        <f t="shared" si="8"/>
        <v>10847.199999999999</v>
      </c>
      <c r="I40" s="675">
        <v>0.04</v>
      </c>
      <c r="J40" s="675">
        <f t="shared" si="0"/>
        <v>433.89</v>
      </c>
      <c r="K40" s="675">
        <v>0.6</v>
      </c>
      <c r="L40" s="674">
        <f t="shared" si="1"/>
        <v>6768.65</v>
      </c>
      <c r="M40" s="741">
        <v>15</v>
      </c>
      <c r="N40" s="674">
        <f t="shared" si="2"/>
        <v>1692.16</v>
      </c>
      <c r="O40" s="741"/>
      <c r="P40" s="674">
        <f t="shared" si="3"/>
        <v>0</v>
      </c>
      <c r="Q40" s="741">
        <v>15</v>
      </c>
      <c r="R40" s="674">
        <f t="shared" si="4"/>
        <v>2961.29</v>
      </c>
      <c r="S40" s="742">
        <v>50</v>
      </c>
      <c r="T40" s="678">
        <f t="shared" si="5"/>
        <v>9870.9500000000007</v>
      </c>
      <c r="U40" s="679">
        <f t="shared" si="6"/>
        <v>32574.14</v>
      </c>
      <c r="V40" s="678">
        <f t="shared" si="7"/>
        <v>4653.45</v>
      </c>
      <c r="W40" s="815">
        <f t="shared" si="10"/>
        <v>37227.589999999997</v>
      </c>
      <c r="X40" s="743">
        <f t="shared" si="9"/>
        <v>32388.0033</v>
      </c>
      <c r="Y40" s="756"/>
      <c r="Z40" s="755" t="s">
        <v>1059</v>
      </c>
      <c r="AA40" s="744">
        <f t="shared" si="11"/>
        <v>20014.5</v>
      </c>
      <c r="AB40" s="744"/>
    </row>
    <row r="41" spans="1:29" s="653" customFormat="1" ht="16.5" customHeight="1" x14ac:dyDescent="0.25">
      <c r="A41" s="1051"/>
      <c r="B41" s="753"/>
      <c r="C41" s="754" t="s">
        <v>1053</v>
      </c>
      <c r="D41" s="739">
        <v>1</v>
      </c>
      <c r="E41" s="740" t="s">
        <v>1054</v>
      </c>
      <c r="F41" s="727" t="s">
        <v>1032</v>
      </c>
      <c r="G41" s="675">
        <v>10400</v>
      </c>
      <c r="H41" s="674">
        <f t="shared" si="8"/>
        <v>10847.199999999999</v>
      </c>
      <c r="I41" s="675">
        <v>0.04</v>
      </c>
      <c r="J41" s="675">
        <f t="shared" si="0"/>
        <v>433.89</v>
      </c>
      <c r="K41" s="675">
        <v>0.6</v>
      </c>
      <c r="L41" s="674">
        <f t="shared" si="1"/>
        <v>6768.65</v>
      </c>
      <c r="M41" s="741">
        <v>15</v>
      </c>
      <c r="N41" s="674">
        <f t="shared" si="2"/>
        <v>1692.16</v>
      </c>
      <c r="O41" s="741"/>
      <c r="P41" s="674">
        <f t="shared" si="3"/>
        <v>0</v>
      </c>
      <c r="Q41" s="741">
        <v>15</v>
      </c>
      <c r="R41" s="674">
        <f t="shared" si="4"/>
        <v>2961.29</v>
      </c>
      <c r="S41" s="742">
        <v>50</v>
      </c>
      <c r="T41" s="678">
        <f t="shared" si="5"/>
        <v>9870.9500000000007</v>
      </c>
      <c r="U41" s="679">
        <f t="shared" si="6"/>
        <v>32574.14</v>
      </c>
      <c r="V41" s="678">
        <f t="shared" si="7"/>
        <v>4653.45</v>
      </c>
      <c r="W41" s="815">
        <f t="shared" si="10"/>
        <v>37227.589999999997</v>
      </c>
      <c r="X41" s="743">
        <f t="shared" si="9"/>
        <v>32388.0033</v>
      </c>
      <c r="Y41" s="756"/>
      <c r="Z41" s="755"/>
      <c r="AA41" s="744">
        <f t="shared" si="11"/>
        <v>20014.5</v>
      </c>
      <c r="AB41" s="744"/>
    </row>
    <row r="42" spans="1:29" s="653" customFormat="1" ht="16.5" customHeight="1" x14ac:dyDescent="0.25">
      <c r="A42" s="1051"/>
      <c r="B42" s="753"/>
      <c r="C42" s="754" t="s">
        <v>1053</v>
      </c>
      <c r="D42" s="739">
        <v>1</v>
      </c>
      <c r="E42" s="740" t="s">
        <v>1054</v>
      </c>
      <c r="F42" s="727" t="s">
        <v>1032</v>
      </c>
      <c r="G42" s="675">
        <v>10400</v>
      </c>
      <c r="H42" s="674">
        <f t="shared" si="8"/>
        <v>10847.199999999999</v>
      </c>
      <c r="I42" s="675">
        <v>0.04</v>
      </c>
      <c r="J42" s="675">
        <f t="shared" si="0"/>
        <v>433.89</v>
      </c>
      <c r="K42" s="675">
        <v>0.6</v>
      </c>
      <c r="L42" s="674">
        <f t="shared" si="1"/>
        <v>6768.65</v>
      </c>
      <c r="M42" s="741">
        <v>15</v>
      </c>
      <c r="N42" s="674">
        <f t="shared" si="2"/>
        <v>1692.16</v>
      </c>
      <c r="O42" s="741"/>
      <c r="P42" s="674">
        <f t="shared" si="3"/>
        <v>0</v>
      </c>
      <c r="Q42" s="741">
        <v>15</v>
      </c>
      <c r="R42" s="674">
        <f t="shared" si="4"/>
        <v>2961.29</v>
      </c>
      <c r="S42" s="742">
        <v>50</v>
      </c>
      <c r="T42" s="678">
        <f t="shared" si="5"/>
        <v>9870.9500000000007</v>
      </c>
      <c r="U42" s="679">
        <f t="shared" si="6"/>
        <v>32574.14</v>
      </c>
      <c r="V42" s="678">
        <f t="shared" si="7"/>
        <v>4653.45</v>
      </c>
      <c r="W42" s="815">
        <f t="shared" si="10"/>
        <v>37227.589999999997</v>
      </c>
      <c r="X42" s="743">
        <f t="shared" si="9"/>
        <v>32388.0033</v>
      </c>
      <c r="Y42" s="756"/>
      <c r="Z42" s="755"/>
      <c r="AA42" s="744">
        <f t="shared" si="11"/>
        <v>20014.5</v>
      </c>
      <c r="AB42" s="744"/>
    </row>
    <row r="43" spans="1:29" s="653" customFormat="1" ht="16.5" customHeight="1" x14ac:dyDescent="0.25">
      <c r="A43" s="1051"/>
      <c r="B43" s="753"/>
      <c r="C43" s="754" t="s">
        <v>1060</v>
      </c>
      <c r="D43" s="739">
        <v>1</v>
      </c>
      <c r="E43" s="740" t="s">
        <v>1061</v>
      </c>
      <c r="F43" s="727" t="s">
        <v>1032</v>
      </c>
      <c r="G43" s="675">
        <v>9360</v>
      </c>
      <c r="H43" s="674">
        <f t="shared" si="8"/>
        <v>9762.48</v>
      </c>
      <c r="I43" s="675">
        <v>0.03</v>
      </c>
      <c r="J43" s="675">
        <f t="shared" si="0"/>
        <v>292.87</v>
      </c>
      <c r="K43" s="675">
        <v>0.6</v>
      </c>
      <c r="L43" s="674">
        <f t="shared" si="1"/>
        <v>6033.21</v>
      </c>
      <c r="M43" s="741">
        <v>15</v>
      </c>
      <c r="N43" s="674">
        <f t="shared" si="2"/>
        <v>1508.3</v>
      </c>
      <c r="O43" s="741"/>
      <c r="P43" s="674">
        <f t="shared" si="3"/>
        <v>0</v>
      </c>
      <c r="Q43" s="741">
        <v>15</v>
      </c>
      <c r="R43" s="674">
        <f t="shared" si="4"/>
        <v>2639.53</v>
      </c>
      <c r="S43" s="742">
        <v>50</v>
      </c>
      <c r="T43" s="678">
        <f t="shared" si="5"/>
        <v>8798.43</v>
      </c>
      <c r="U43" s="679">
        <f t="shared" si="6"/>
        <v>29034.82</v>
      </c>
      <c r="V43" s="678">
        <f t="shared" si="7"/>
        <v>4147.83</v>
      </c>
      <c r="W43" s="815">
        <f t="shared" si="10"/>
        <v>33182.65</v>
      </c>
      <c r="X43" s="743">
        <f t="shared" si="9"/>
        <v>28868.905500000001</v>
      </c>
      <c r="Y43" s="756"/>
      <c r="Z43" s="755" t="s">
        <v>1062</v>
      </c>
      <c r="AA43" s="744">
        <f t="shared" si="11"/>
        <v>20014.5</v>
      </c>
      <c r="AB43" s="744"/>
    </row>
    <row r="44" spans="1:29" s="653" customFormat="1" ht="16.5" customHeight="1" thickBot="1" x14ac:dyDescent="0.3">
      <c r="A44" s="1052"/>
      <c r="B44" s="757"/>
      <c r="C44" s="758" t="s">
        <v>1060</v>
      </c>
      <c r="D44" s="712">
        <v>1</v>
      </c>
      <c r="E44" s="713" t="s">
        <v>1061</v>
      </c>
      <c r="F44" s="759" t="s">
        <v>1032</v>
      </c>
      <c r="G44" s="714">
        <v>9360</v>
      </c>
      <c r="H44" s="715">
        <f t="shared" si="8"/>
        <v>9762.48</v>
      </c>
      <c r="I44" s="714">
        <v>0.03</v>
      </c>
      <c r="J44" s="714">
        <f t="shared" si="0"/>
        <v>292.87</v>
      </c>
      <c r="K44" s="714">
        <v>0.6</v>
      </c>
      <c r="L44" s="715">
        <f t="shared" si="1"/>
        <v>6033.21</v>
      </c>
      <c r="M44" s="716">
        <v>15</v>
      </c>
      <c r="N44" s="715">
        <f t="shared" si="2"/>
        <v>1508.3</v>
      </c>
      <c r="O44" s="716"/>
      <c r="P44" s="715">
        <f t="shared" si="3"/>
        <v>0</v>
      </c>
      <c r="Q44" s="716">
        <v>15</v>
      </c>
      <c r="R44" s="715">
        <f t="shared" si="4"/>
        <v>2639.53</v>
      </c>
      <c r="S44" s="717">
        <v>50</v>
      </c>
      <c r="T44" s="718">
        <f t="shared" si="5"/>
        <v>8798.43</v>
      </c>
      <c r="U44" s="719">
        <f t="shared" si="6"/>
        <v>29034.82</v>
      </c>
      <c r="V44" s="718">
        <f t="shared" si="7"/>
        <v>4147.83</v>
      </c>
      <c r="W44" s="818">
        <f t="shared" si="10"/>
        <v>33182.65</v>
      </c>
      <c r="X44" s="720">
        <f t="shared" si="9"/>
        <v>28868.905500000001</v>
      </c>
      <c r="Y44" s="760">
        <f>SUM(W36:W44)</f>
        <v>334669.93000000005</v>
      </c>
      <c r="Z44" s="722" t="s">
        <v>1063</v>
      </c>
      <c r="AA44" s="744">
        <f t="shared" si="11"/>
        <v>20014.5</v>
      </c>
      <c r="AB44" s="744"/>
    </row>
    <row r="45" spans="1:29" s="653" customFormat="1" ht="16.5" customHeight="1" x14ac:dyDescent="0.25">
      <c r="A45" s="1053" t="s">
        <v>1064</v>
      </c>
      <c r="B45" s="723"/>
      <c r="C45" s="724" t="s">
        <v>1030</v>
      </c>
      <c r="D45" s="725">
        <v>1</v>
      </c>
      <c r="E45" s="726" t="s">
        <v>1031</v>
      </c>
      <c r="F45" s="761" t="s">
        <v>1032</v>
      </c>
      <c r="G45" s="728">
        <v>11440</v>
      </c>
      <c r="H45" s="729">
        <f t="shared" si="8"/>
        <v>11931.92</v>
      </c>
      <c r="I45" s="728">
        <v>0.05</v>
      </c>
      <c r="J45" s="728">
        <f t="shared" si="0"/>
        <v>596.6</v>
      </c>
      <c r="K45" s="728">
        <v>0.35</v>
      </c>
      <c r="L45" s="729">
        <f t="shared" si="1"/>
        <v>4384.9799999999996</v>
      </c>
      <c r="M45" s="730">
        <v>15</v>
      </c>
      <c r="N45" s="729">
        <f t="shared" si="2"/>
        <v>1879.28</v>
      </c>
      <c r="O45" s="730"/>
      <c r="P45" s="729">
        <f t="shared" si="3"/>
        <v>0</v>
      </c>
      <c r="Q45" s="730">
        <v>15</v>
      </c>
      <c r="R45" s="729">
        <f t="shared" si="4"/>
        <v>2818.92</v>
      </c>
      <c r="S45" s="731">
        <v>50</v>
      </c>
      <c r="T45" s="732">
        <f t="shared" si="5"/>
        <v>9396.39</v>
      </c>
      <c r="U45" s="733">
        <f t="shared" si="6"/>
        <v>31008.089999999997</v>
      </c>
      <c r="V45" s="732">
        <f t="shared" si="7"/>
        <v>5168.01</v>
      </c>
      <c r="W45" s="819">
        <f t="shared" si="10"/>
        <v>36176.1</v>
      </c>
      <c r="X45" s="734">
        <f t="shared" si="9"/>
        <v>31473.206999999995</v>
      </c>
      <c r="Y45" s="744">
        <f>SUM(W45:W62)</f>
        <v>415852.17200000002</v>
      </c>
      <c r="Z45" s="735" t="s">
        <v>1065</v>
      </c>
      <c r="AA45" s="744">
        <f t="shared" si="11"/>
        <v>20014.5</v>
      </c>
      <c r="AB45" s="744"/>
      <c r="AC45" s="744">
        <f>SUM(AB45:AB62)</f>
        <v>1965.9599999999919</v>
      </c>
    </row>
    <row r="46" spans="1:29" s="653" customFormat="1" ht="16.5" customHeight="1" x14ac:dyDescent="0.25">
      <c r="A46" s="1053"/>
      <c r="B46" s="737"/>
      <c r="C46" s="738" t="s">
        <v>1066</v>
      </c>
      <c r="D46" s="739">
        <v>1</v>
      </c>
      <c r="E46" s="740" t="s">
        <v>1067</v>
      </c>
      <c r="F46" s="727" t="s">
        <v>1032</v>
      </c>
      <c r="G46" s="675">
        <v>4680</v>
      </c>
      <c r="H46" s="674">
        <f t="shared" si="8"/>
        <v>4881.24</v>
      </c>
      <c r="I46" s="675">
        <v>0.01</v>
      </c>
      <c r="J46" s="675">
        <f t="shared" si="0"/>
        <v>48.81</v>
      </c>
      <c r="K46" s="675">
        <v>1.07</v>
      </c>
      <c r="L46" s="674">
        <f t="shared" si="1"/>
        <v>5275.15</v>
      </c>
      <c r="M46" s="741">
        <v>15</v>
      </c>
      <c r="N46" s="674">
        <f t="shared" si="2"/>
        <v>739.51</v>
      </c>
      <c r="O46" s="741"/>
      <c r="P46" s="674">
        <f t="shared" si="3"/>
        <v>0</v>
      </c>
      <c r="Q46" s="741">
        <v>40</v>
      </c>
      <c r="R46" s="674">
        <f t="shared" si="4"/>
        <v>4377.88</v>
      </c>
      <c r="S46" s="742">
        <v>80</v>
      </c>
      <c r="T46" s="678">
        <f t="shared" si="5"/>
        <v>8755.77</v>
      </c>
      <c r="U46" s="679">
        <f t="shared" si="6"/>
        <v>24078.36</v>
      </c>
      <c r="V46" s="678">
        <f t="shared" si="7"/>
        <v>2711.53</v>
      </c>
      <c r="W46" s="815">
        <f t="shared" si="10"/>
        <v>26789.89</v>
      </c>
      <c r="X46" s="743">
        <f t="shared" si="9"/>
        <v>23307.204299999998</v>
      </c>
      <c r="Y46" s="653" t="s">
        <v>252</v>
      </c>
      <c r="Z46" s="670" t="s">
        <v>1068</v>
      </c>
      <c r="AA46" s="744">
        <f t="shared" si="11"/>
        <v>20014.5</v>
      </c>
      <c r="AB46" s="744"/>
    </row>
    <row r="47" spans="1:29" s="653" customFormat="1" ht="16.5" customHeight="1" x14ac:dyDescent="0.25">
      <c r="A47" s="1053"/>
      <c r="B47" s="737"/>
      <c r="C47" s="738" t="s">
        <v>1066</v>
      </c>
      <c r="D47" s="739">
        <v>1</v>
      </c>
      <c r="E47" s="740" t="s">
        <v>1067</v>
      </c>
      <c r="F47" s="727" t="s">
        <v>1032</v>
      </c>
      <c r="G47" s="675">
        <v>4680</v>
      </c>
      <c r="H47" s="674">
        <f t="shared" si="8"/>
        <v>4881.24</v>
      </c>
      <c r="I47" s="675">
        <v>0.01</v>
      </c>
      <c r="J47" s="675">
        <f t="shared" si="0"/>
        <v>48.81</v>
      </c>
      <c r="K47" s="675">
        <v>1.5</v>
      </c>
      <c r="L47" s="674">
        <f t="shared" si="1"/>
        <v>7395.08</v>
      </c>
      <c r="M47" s="741">
        <v>15</v>
      </c>
      <c r="N47" s="674">
        <f t="shared" si="2"/>
        <v>739.51</v>
      </c>
      <c r="O47" s="741"/>
      <c r="P47" s="674">
        <f t="shared" si="3"/>
        <v>0</v>
      </c>
      <c r="Q47" s="741">
        <v>15</v>
      </c>
      <c r="R47" s="674">
        <f t="shared" si="4"/>
        <v>1959.7</v>
      </c>
      <c r="S47" s="742">
        <v>50</v>
      </c>
      <c r="T47" s="678">
        <f t="shared" si="5"/>
        <v>6532.32</v>
      </c>
      <c r="U47" s="679">
        <f t="shared" si="6"/>
        <v>21556.660000000003</v>
      </c>
      <c r="V47" s="678">
        <f t="shared" si="7"/>
        <v>2033.65</v>
      </c>
      <c r="W47" s="815">
        <f t="shared" si="10"/>
        <v>23590.310000000005</v>
      </c>
      <c r="X47" s="743">
        <f t="shared" si="9"/>
        <v>20523.569700000004</v>
      </c>
      <c r="Y47" s="653" t="s">
        <v>1069</v>
      </c>
      <c r="Z47" s="670" t="s">
        <v>1070</v>
      </c>
      <c r="AA47" s="744">
        <f t="shared" si="11"/>
        <v>20014.5</v>
      </c>
      <c r="AB47" s="744"/>
    </row>
    <row r="48" spans="1:29" s="653" customFormat="1" ht="16.5" customHeight="1" x14ac:dyDescent="0.25">
      <c r="A48" s="1053"/>
      <c r="B48" s="737"/>
      <c r="C48" s="738" t="s">
        <v>1066</v>
      </c>
      <c r="D48" s="739">
        <v>1</v>
      </c>
      <c r="E48" s="740" t="s">
        <v>1067</v>
      </c>
      <c r="F48" s="727" t="s">
        <v>1032</v>
      </c>
      <c r="G48" s="675">
        <v>4680</v>
      </c>
      <c r="H48" s="674">
        <f t="shared" si="8"/>
        <v>4881.24</v>
      </c>
      <c r="I48" s="675">
        <v>0.01</v>
      </c>
      <c r="J48" s="675">
        <f t="shared" si="0"/>
        <v>48.81</v>
      </c>
      <c r="K48" s="675">
        <v>1.5</v>
      </c>
      <c r="L48" s="674">
        <f t="shared" si="1"/>
        <v>7395.08</v>
      </c>
      <c r="M48" s="741">
        <v>15</v>
      </c>
      <c r="N48" s="674">
        <f t="shared" si="2"/>
        <v>739.51</v>
      </c>
      <c r="O48" s="741"/>
      <c r="P48" s="674">
        <f t="shared" si="3"/>
        <v>0</v>
      </c>
      <c r="Q48" s="741">
        <v>15</v>
      </c>
      <c r="R48" s="674">
        <f t="shared" si="4"/>
        <v>1959.7</v>
      </c>
      <c r="S48" s="742">
        <v>50</v>
      </c>
      <c r="T48" s="678">
        <f t="shared" si="5"/>
        <v>6532.32</v>
      </c>
      <c r="U48" s="679">
        <f t="shared" si="6"/>
        <v>21556.660000000003</v>
      </c>
      <c r="V48" s="678">
        <f t="shared" si="7"/>
        <v>2033.65</v>
      </c>
      <c r="W48" s="815">
        <f t="shared" si="10"/>
        <v>23590.310000000005</v>
      </c>
      <c r="X48" s="743">
        <f t="shared" si="9"/>
        <v>20523.569700000004</v>
      </c>
      <c r="Y48" s="653" t="s">
        <v>1069</v>
      </c>
      <c r="Z48" s="670" t="s">
        <v>1071</v>
      </c>
      <c r="AA48" s="744">
        <f t="shared" si="11"/>
        <v>20014.5</v>
      </c>
      <c r="AB48" s="744"/>
    </row>
    <row r="49" spans="1:28" s="653" customFormat="1" ht="16.5" customHeight="1" x14ac:dyDescent="0.25">
      <c r="A49" s="1053"/>
      <c r="B49" s="737"/>
      <c r="C49" s="738" t="s">
        <v>1066</v>
      </c>
      <c r="D49" s="739">
        <v>1</v>
      </c>
      <c r="E49" s="740" t="s">
        <v>1067</v>
      </c>
      <c r="F49" s="727" t="s">
        <v>1032</v>
      </c>
      <c r="G49" s="675">
        <v>4680</v>
      </c>
      <c r="H49" s="674">
        <f t="shared" si="8"/>
        <v>4881.24</v>
      </c>
      <c r="I49" s="675">
        <v>0.01</v>
      </c>
      <c r="J49" s="675">
        <f t="shared" si="0"/>
        <v>48.81</v>
      </c>
      <c r="K49" s="675">
        <v>1.5</v>
      </c>
      <c r="L49" s="674">
        <f t="shared" si="1"/>
        <v>7395.08</v>
      </c>
      <c r="M49" s="741">
        <v>15</v>
      </c>
      <c r="N49" s="674">
        <f t="shared" si="2"/>
        <v>739.51</v>
      </c>
      <c r="O49" s="741"/>
      <c r="P49" s="674">
        <f t="shared" si="3"/>
        <v>0</v>
      </c>
      <c r="Q49" s="741">
        <v>15</v>
      </c>
      <c r="R49" s="674">
        <f t="shared" si="4"/>
        <v>1959.7</v>
      </c>
      <c r="S49" s="742">
        <v>50</v>
      </c>
      <c r="T49" s="678">
        <f t="shared" si="5"/>
        <v>6532.32</v>
      </c>
      <c r="U49" s="679">
        <f t="shared" si="6"/>
        <v>21556.660000000003</v>
      </c>
      <c r="V49" s="678">
        <f t="shared" si="7"/>
        <v>2033.65</v>
      </c>
      <c r="W49" s="815">
        <f t="shared" si="10"/>
        <v>23590.310000000005</v>
      </c>
      <c r="X49" s="743">
        <f t="shared" si="9"/>
        <v>20523.569700000004</v>
      </c>
      <c r="Y49" s="653" t="s">
        <v>1069</v>
      </c>
      <c r="Z49" s="670" t="s">
        <v>1072</v>
      </c>
      <c r="AA49" s="744">
        <f t="shared" si="11"/>
        <v>20014.5</v>
      </c>
      <c r="AB49" s="744"/>
    </row>
    <row r="50" spans="1:28" s="653" customFormat="1" ht="16.5" customHeight="1" x14ac:dyDescent="0.25">
      <c r="A50" s="1053"/>
      <c r="B50" s="737"/>
      <c r="C50" s="738" t="s">
        <v>1066</v>
      </c>
      <c r="D50" s="739">
        <v>1</v>
      </c>
      <c r="E50" s="740" t="s">
        <v>1067</v>
      </c>
      <c r="F50" s="727" t="s">
        <v>1032</v>
      </c>
      <c r="G50" s="675">
        <v>4680</v>
      </c>
      <c r="H50" s="674">
        <f t="shared" si="8"/>
        <v>4881.24</v>
      </c>
      <c r="I50" s="675">
        <v>0.01</v>
      </c>
      <c r="J50" s="675">
        <f t="shared" si="0"/>
        <v>48.81</v>
      </c>
      <c r="K50" s="675">
        <v>1</v>
      </c>
      <c r="L50" s="674">
        <f t="shared" si="1"/>
        <v>4930.05</v>
      </c>
      <c r="M50" s="741">
        <v>15</v>
      </c>
      <c r="N50" s="674">
        <f t="shared" si="2"/>
        <v>739.51</v>
      </c>
      <c r="O50" s="741"/>
      <c r="P50" s="674">
        <f t="shared" si="3"/>
        <v>0</v>
      </c>
      <c r="Q50" s="741">
        <v>30</v>
      </c>
      <c r="R50" s="674">
        <f t="shared" si="4"/>
        <v>3179.88</v>
      </c>
      <c r="S50" s="742">
        <v>50</v>
      </c>
      <c r="T50" s="678">
        <f t="shared" si="5"/>
        <v>5299.81</v>
      </c>
      <c r="U50" s="679">
        <f t="shared" si="6"/>
        <v>19079.300000000003</v>
      </c>
      <c r="V50" s="678">
        <f t="shared" si="7"/>
        <v>2218.52</v>
      </c>
      <c r="W50" s="815">
        <f t="shared" si="10"/>
        <v>21297.820000000003</v>
      </c>
      <c r="X50" s="743">
        <f t="shared" si="9"/>
        <v>18529.103400000004</v>
      </c>
      <c r="Y50" s="653" t="s">
        <v>249</v>
      </c>
      <c r="Z50" s="670" t="s">
        <v>1073</v>
      </c>
      <c r="AA50" s="744">
        <f t="shared" si="11"/>
        <v>20014.5</v>
      </c>
      <c r="AB50" s="744"/>
    </row>
    <row r="51" spans="1:28" s="653" customFormat="1" ht="16.5" customHeight="1" x14ac:dyDescent="0.25">
      <c r="A51" s="1053"/>
      <c r="B51" s="737"/>
      <c r="C51" s="738" t="s">
        <v>1066</v>
      </c>
      <c r="D51" s="739">
        <v>1</v>
      </c>
      <c r="E51" s="740" t="s">
        <v>1067</v>
      </c>
      <c r="F51" s="727" t="s">
        <v>1032</v>
      </c>
      <c r="G51" s="675">
        <v>4680</v>
      </c>
      <c r="H51" s="674">
        <f t="shared" si="8"/>
        <v>4881.24</v>
      </c>
      <c r="I51" s="675">
        <v>0.01</v>
      </c>
      <c r="J51" s="675">
        <f t="shared" si="0"/>
        <v>48.81</v>
      </c>
      <c r="K51" s="675">
        <v>1</v>
      </c>
      <c r="L51" s="674">
        <f t="shared" si="1"/>
        <v>4930.05</v>
      </c>
      <c r="M51" s="741">
        <v>15</v>
      </c>
      <c r="N51" s="674">
        <f t="shared" si="2"/>
        <v>739.51</v>
      </c>
      <c r="O51" s="741"/>
      <c r="P51" s="674">
        <f t="shared" si="3"/>
        <v>0</v>
      </c>
      <c r="Q51" s="741">
        <v>15</v>
      </c>
      <c r="R51" s="674">
        <f t="shared" si="4"/>
        <v>1589.94</v>
      </c>
      <c r="S51" s="742">
        <v>50</v>
      </c>
      <c r="T51" s="678">
        <f t="shared" si="5"/>
        <v>5299.81</v>
      </c>
      <c r="U51" s="679">
        <f t="shared" si="6"/>
        <v>17489.36</v>
      </c>
      <c r="V51" s="678">
        <f t="shared" si="7"/>
        <v>2033.65</v>
      </c>
      <c r="W51" s="815">
        <f t="shared" si="10"/>
        <v>19523.010000000002</v>
      </c>
      <c r="X51" s="743">
        <f t="shared" si="9"/>
        <v>16985.018700000001</v>
      </c>
      <c r="Y51" s="653" t="s">
        <v>1074</v>
      </c>
      <c r="Z51" s="670" t="s">
        <v>1075</v>
      </c>
      <c r="AA51" s="744">
        <f t="shared" si="11"/>
        <v>20014.5</v>
      </c>
      <c r="AB51" s="744">
        <f>AA51-W51</f>
        <v>491.48999999999796</v>
      </c>
    </row>
    <row r="52" spans="1:28" s="653" customFormat="1" ht="16.5" customHeight="1" x14ac:dyDescent="0.25">
      <c r="A52" s="1053"/>
      <c r="B52" s="737"/>
      <c r="C52" s="738" t="s">
        <v>1066</v>
      </c>
      <c r="D52" s="739">
        <v>1</v>
      </c>
      <c r="E52" s="740" t="s">
        <v>1067</v>
      </c>
      <c r="F52" s="727" t="s">
        <v>1032</v>
      </c>
      <c r="G52" s="675">
        <v>4680</v>
      </c>
      <c r="H52" s="674">
        <f t="shared" si="8"/>
        <v>4881.24</v>
      </c>
      <c r="I52" s="675">
        <v>0.01</v>
      </c>
      <c r="J52" s="675">
        <f t="shared" si="0"/>
        <v>48.81</v>
      </c>
      <c r="K52" s="675">
        <v>1</v>
      </c>
      <c r="L52" s="674">
        <f t="shared" si="1"/>
        <v>4930.05</v>
      </c>
      <c r="M52" s="741">
        <v>15</v>
      </c>
      <c r="N52" s="674">
        <f t="shared" si="2"/>
        <v>739.51</v>
      </c>
      <c r="O52" s="741"/>
      <c r="P52" s="674">
        <f t="shared" si="3"/>
        <v>0</v>
      </c>
      <c r="Q52" s="741">
        <v>40</v>
      </c>
      <c r="R52" s="674">
        <f t="shared" si="4"/>
        <v>4239.84</v>
      </c>
      <c r="S52" s="742">
        <v>80</v>
      </c>
      <c r="T52" s="678">
        <f t="shared" si="5"/>
        <v>8479.69</v>
      </c>
      <c r="U52" s="679">
        <f t="shared" si="6"/>
        <v>23319.14</v>
      </c>
      <c r="V52" s="678">
        <f t="shared" si="7"/>
        <v>2711.53</v>
      </c>
      <c r="W52" s="815">
        <f t="shared" si="10"/>
        <v>26030.67</v>
      </c>
      <c r="X52" s="743">
        <f t="shared" si="9"/>
        <v>22646.6829</v>
      </c>
      <c r="Y52" s="653" t="s">
        <v>710</v>
      </c>
      <c r="Z52" s="670" t="s">
        <v>1076</v>
      </c>
      <c r="AA52" s="744">
        <f t="shared" si="11"/>
        <v>20014.5</v>
      </c>
      <c r="AB52" s="744"/>
    </row>
    <row r="53" spans="1:28" s="653" customFormat="1" ht="16.5" customHeight="1" x14ac:dyDescent="0.25">
      <c r="A53" s="1053"/>
      <c r="B53" s="737"/>
      <c r="C53" s="738" t="s">
        <v>1066</v>
      </c>
      <c r="D53" s="739">
        <v>1</v>
      </c>
      <c r="E53" s="740" t="s">
        <v>1067</v>
      </c>
      <c r="F53" s="727" t="s">
        <v>1032</v>
      </c>
      <c r="G53" s="675">
        <v>4680</v>
      </c>
      <c r="H53" s="674">
        <f t="shared" si="8"/>
        <v>4881.24</v>
      </c>
      <c r="I53" s="675">
        <v>0.01</v>
      </c>
      <c r="J53" s="675">
        <f t="shared" si="0"/>
        <v>48.81</v>
      </c>
      <c r="K53" s="675">
        <v>1</v>
      </c>
      <c r="L53" s="674">
        <f t="shared" si="1"/>
        <v>4930.05</v>
      </c>
      <c r="M53" s="741">
        <v>15</v>
      </c>
      <c r="N53" s="674">
        <f t="shared" si="2"/>
        <v>739.51</v>
      </c>
      <c r="O53" s="741"/>
      <c r="P53" s="674">
        <f t="shared" si="3"/>
        <v>0</v>
      </c>
      <c r="Q53" s="741">
        <v>30</v>
      </c>
      <c r="R53" s="674">
        <f t="shared" si="4"/>
        <v>3179.88</v>
      </c>
      <c r="S53" s="742">
        <v>50</v>
      </c>
      <c r="T53" s="678">
        <f t="shared" si="5"/>
        <v>5299.81</v>
      </c>
      <c r="U53" s="679">
        <f t="shared" si="6"/>
        <v>19079.300000000003</v>
      </c>
      <c r="V53" s="678">
        <f t="shared" si="7"/>
        <v>2218.52</v>
      </c>
      <c r="W53" s="815">
        <f t="shared" si="10"/>
        <v>21297.820000000003</v>
      </c>
      <c r="X53" s="743">
        <f t="shared" si="9"/>
        <v>18529.103400000004</v>
      </c>
      <c r="Y53" s="653" t="s">
        <v>1077</v>
      </c>
      <c r="Z53" s="670" t="s">
        <v>1078</v>
      </c>
      <c r="AA53" s="744">
        <f t="shared" si="11"/>
        <v>20014.5</v>
      </c>
      <c r="AB53" s="744"/>
    </row>
    <row r="54" spans="1:28" s="653" customFormat="1" ht="16.5" customHeight="1" x14ac:dyDescent="0.25">
      <c r="A54" s="1053"/>
      <c r="B54" s="737"/>
      <c r="C54" s="738" t="s">
        <v>1066</v>
      </c>
      <c r="D54" s="739">
        <v>1</v>
      </c>
      <c r="E54" s="740" t="s">
        <v>1067</v>
      </c>
      <c r="F54" s="727" t="s">
        <v>1032</v>
      </c>
      <c r="G54" s="675">
        <v>4680</v>
      </c>
      <c r="H54" s="674">
        <f t="shared" si="8"/>
        <v>4881.24</v>
      </c>
      <c r="I54" s="675">
        <v>0.01</v>
      </c>
      <c r="J54" s="675">
        <f t="shared" si="0"/>
        <v>48.81</v>
      </c>
      <c r="K54" s="675">
        <v>1</v>
      </c>
      <c r="L54" s="674">
        <f t="shared" si="1"/>
        <v>4930.05</v>
      </c>
      <c r="M54" s="741">
        <v>15</v>
      </c>
      <c r="N54" s="674">
        <f t="shared" si="2"/>
        <v>739.51</v>
      </c>
      <c r="O54" s="741"/>
      <c r="P54" s="674">
        <f t="shared" si="3"/>
        <v>0</v>
      </c>
      <c r="Q54" s="741">
        <v>15</v>
      </c>
      <c r="R54" s="674">
        <f t="shared" si="4"/>
        <v>1589.94</v>
      </c>
      <c r="S54" s="742">
        <v>50</v>
      </c>
      <c r="T54" s="678">
        <f t="shared" si="5"/>
        <v>5299.81</v>
      </c>
      <c r="U54" s="679">
        <f t="shared" si="6"/>
        <v>17489.36</v>
      </c>
      <c r="V54" s="678">
        <f t="shared" si="7"/>
        <v>2033.65</v>
      </c>
      <c r="W54" s="815">
        <f t="shared" si="10"/>
        <v>19523.010000000002</v>
      </c>
      <c r="X54" s="743">
        <f t="shared" si="9"/>
        <v>16985.018700000001</v>
      </c>
      <c r="Y54" s="653" t="s">
        <v>1079</v>
      </c>
      <c r="Z54" s="670" t="s">
        <v>1080</v>
      </c>
      <c r="AA54" s="744">
        <f t="shared" si="11"/>
        <v>20014.5</v>
      </c>
      <c r="AB54" s="744">
        <f>AA54-W54</f>
        <v>491.48999999999796</v>
      </c>
    </row>
    <row r="55" spans="1:28" s="653" customFormat="1" ht="16.5" customHeight="1" x14ac:dyDescent="0.25">
      <c r="A55" s="1053"/>
      <c r="B55" s="737"/>
      <c r="C55" s="738" t="s">
        <v>1066</v>
      </c>
      <c r="D55" s="739">
        <v>1</v>
      </c>
      <c r="E55" s="740" t="s">
        <v>1067</v>
      </c>
      <c r="F55" s="727" t="s">
        <v>1032</v>
      </c>
      <c r="G55" s="675">
        <v>4680</v>
      </c>
      <c r="H55" s="674">
        <f t="shared" si="8"/>
        <v>4881.24</v>
      </c>
      <c r="I55" s="675">
        <v>0.01</v>
      </c>
      <c r="J55" s="675">
        <f t="shared" si="0"/>
        <v>48.81</v>
      </c>
      <c r="K55" s="675">
        <v>1</v>
      </c>
      <c r="L55" s="674">
        <f t="shared" si="1"/>
        <v>4930.05</v>
      </c>
      <c r="M55" s="741">
        <v>15</v>
      </c>
      <c r="N55" s="674">
        <f t="shared" si="2"/>
        <v>739.51</v>
      </c>
      <c r="O55" s="741"/>
      <c r="P55" s="674">
        <f t="shared" si="3"/>
        <v>0</v>
      </c>
      <c r="Q55" s="741">
        <v>15</v>
      </c>
      <c r="R55" s="674">
        <f t="shared" si="4"/>
        <v>1589.94</v>
      </c>
      <c r="S55" s="742">
        <v>50</v>
      </c>
      <c r="T55" s="678">
        <f t="shared" si="5"/>
        <v>5299.81</v>
      </c>
      <c r="U55" s="679">
        <f t="shared" si="6"/>
        <v>17489.36</v>
      </c>
      <c r="V55" s="678">
        <f t="shared" si="7"/>
        <v>2033.65</v>
      </c>
      <c r="W55" s="815">
        <f t="shared" si="10"/>
        <v>19523.010000000002</v>
      </c>
      <c r="X55" s="743">
        <f t="shared" si="9"/>
        <v>16985.018700000001</v>
      </c>
      <c r="Y55" s="653" t="s">
        <v>259</v>
      </c>
      <c r="Z55" s="670" t="s">
        <v>1081</v>
      </c>
      <c r="AA55" s="744">
        <f t="shared" si="11"/>
        <v>20014.5</v>
      </c>
      <c r="AB55" s="744">
        <f>AA55-W55</f>
        <v>491.48999999999796</v>
      </c>
    </row>
    <row r="56" spans="1:28" s="653" customFormat="1" ht="16.5" customHeight="1" x14ac:dyDescent="0.25">
      <c r="A56" s="1053"/>
      <c r="B56" s="737"/>
      <c r="C56" s="738" t="s">
        <v>1066</v>
      </c>
      <c r="D56" s="739">
        <v>1</v>
      </c>
      <c r="E56" s="740" t="s">
        <v>1067</v>
      </c>
      <c r="F56" s="727" t="s">
        <v>1032</v>
      </c>
      <c r="G56" s="675">
        <v>4680</v>
      </c>
      <c r="H56" s="674">
        <f t="shared" si="8"/>
        <v>4881.24</v>
      </c>
      <c r="I56" s="675">
        <v>0.01</v>
      </c>
      <c r="J56" s="675">
        <f t="shared" si="0"/>
        <v>48.81</v>
      </c>
      <c r="K56" s="675">
        <v>1</v>
      </c>
      <c r="L56" s="674">
        <f t="shared" si="1"/>
        <v>4930.05</v>
      </c>
      <c r="M56" s="741">
        <v>15</v>
      </c>
      <c r="N56" s="674">
        <f t="shared" si="2"/>
        <v>739.51</v>
      </c>
      <c r="O56" s="741"/>
      <c r="P56" s="674">
        <f t="shared" si="3"/>
        <v>0</v>
      </c>
      <c r="Q56" s="741">
        <v>15</v>
      </c>
      <c r="R56" s="674">
        <f t="shared" si="4"/>
        <v>1589.94</v>
      </c>
      <c r="S56" s="742">
        <v>50</v>
      </c>
      <c r="T56" s="678">
        <f t="shared" si="5"/>
        <v>5299.81</v>
      </c>
      <c r="U56" s="679">
        <f t="shared" si="6"/>
        <v>17489.36</v>
      </c>
      <c r="V56" s="678">
        <f t="shared" si="7"/>
        <v>2033.65</v>
      </c>
      <c r="W56" s="815">
        <f t="shared" si="10"/>
        <v>19523.010000000002</v>
      </c>
      <c r="X56" s="743">
        <f t="shared" si="9"/>
        <v>16985.018700000001</v>
      </c>
      <c r="Y56" s="653" t="s">
        <v>256</v>
      </c>
      <c r="Z56" s="670" t="s">
        <v>1082</v>
      </c>
      <c r="AA56" s="744">
        <f t="shared" si="11"/>
        <v>20014.5</v>
      </c>
      <c r="AB56" s="744">
        <f>AA56-W56</f>
        <v>491.48999999999796</v>
      </c>
    </row>
    <row r="57" spans="1:28" s="653" customFormat="1" ht="16.5" customHeight="1" x14ac:dyDescent="0.25">
      <c r="A57" s="1053"/>
      <c r="B57" s="737"/>
      <c r="C57" s="738" t="s">
        <v>1066</v>
      </c>
      <c r="D57" s="739">
        <v>1</v>
      </c>
      <c r="E57" s="740" t="s">
        <v>1067</v>
      </c>
      <c r="F57" s="727" t="s">
        <v>1032</v>
      </c>
      <c r="G57" s="675">
        <v>4680</v>
      </c>
      <c r="H57" s="674">
        <f t="shared" si="8"/>
        <v>4881.24</v>
      </c>
      <c r="I57" s="675">
        <v>0.01</v>
      </c>
      <c r="J57" s="675">
        <f t="shared" si="0"/>
        <v>48.81</v>
      </c>
      <c r="K57" s="675">
        <v>1</v>
      </c>
      <c r="L57" s="674">
        <f t="shared" si="1"/>
        <v>4930.05</v>
      </c>
      <c r="M57" s="741">
        <v>15</v>
      </c>
      <c r="N57" s="674">
        <f t="shared" si="2"/>
        <v>739.51</v>
      </c>
      <c r="O57" s="741"/>
      <c r="P57" s="674">
        <f t="shared" si="3"/>
        <v>0</v>
      </c>
      <c r="Q57" s="741">
        <v>40</v>
      </c>
      <c r="R57" s="674">
        <f t="shared" si="4"/>
        <v>4239.84</v>
      </c>
      <c r="S57" s="742">
        <v>80</v>
      </c>
      <c r="T57" s="678">
        <f t="shared" si="5"/>
        <v>8479.69</v>
      </c>
      <c r="U57" s="679">
        <f t="shared" si="6"/>
        <v>23319.14</v>
      </c>
      <c r="V57" s="678">
        <f t="shared" si="7"/>
        <v>2711.53</v>
      </c>
      <c r="W57" s="815">
        <f t="shared" si="10"/>
        <v>26030.67</v>
      </c>
      <c r="X57" s="743">
        <f t="shared" si="9"/>
        <v>22646.6829</v>
      </c>
      <c r="Y57" s="653" t="s">
        <v>1083</v>
      </c>
      <c r="Z57" s="670" t="s">
        <v>1084</v>
      </c>
      <c r="AA57" s="744">
        <f t="shared" si="11"/>
        <v>20014.5</v>
      </c>
      <c r="AB57" s="744"/>
    </row>
    <row r="58" spans="1:28" s="653" customFormat="1" ht="16.5" customHeight="1" x14ac:dyDescent="0.25">
      <c r="A58" s="1053"/>
      <c r="B58" s="737"/>
      <c r="C58" s="738" t="s">
        <v>1066</v>
      </c>
      <c r="D58" s="739">
        <v>1</v>
      </c>
      <c r="E58" s="740" t="s">
        <v>1067</v>
      </c>
      <c r="F58" s="727" t="s">
        <v>1032</v>
      </c>
      <c r="G58" s="675">
        <v>4680</v>
      </c>
      <c r="H58" s="674">
        <f t="shared" si="8"/>
        <v>4881.24</v>
      </c>
      <c r="I58" s="675">
        <v>0.01</v>
      </c>
      <c r="J58" s="675">
        <f t="shared" si="0"/>
        <v>48.81</v>
      </c>
      <c r="K58" s="675">
        <v>1</v>
      </c>
      <c r="L58" s="674">
        <f t="shared" si="1"/>
        <v>4930.05</v>
      </c>
      <c r="M58" s="741">
        <v>15</v>
      </c>
      <c r="N58" s="674">
        <f t="shared" si="2"/>
        <v>739.51</v>
      </c>
      <c r="O58" s="741"/>
      <c r="P58" s="674">
        <f t="shared" si="3"/>
        <v>0</v>
      </c>
      <c r="Q58" s="741">
        <v>30</v>
      </c>
      <c r="R58" s="674">
        <f t="shared" si="4"/>
        <v>3179.88</v>
      </c>
      <c r="S58" s="742">
        <v>50</v>
      </c>
      <c r="T58" s="678">
        <f t="shared" si="5"/>
        <v>5299.81</v>
      </c>
      <c r="U58" s="679">
        <f t="shared" si="6"/>
        <v>19079.300000000003</v>
      </c>
      <c r="V58" s="678">
        <f t="shared" si="7"/>
        <v>2218.52</v>
      </c>
      <c r="W58" s="815">
        <f t="shared" si="10"/>
        <v>21297.820000000003</v>
      </c>
      <c r="X58" s="743">
        <f t="shared" si="9"/>
        <v>18529.103400000004</v>
      </c>
      <c r="Y58" s="653" t="s">
        <v>257</v>
      </c>
      <c r="Z58" s="670" t="s">
        <v>1085</v>
      </c>
      <c r="AA58" s="744">
        <f t="shared" si="11"/>
        <v>20014.5</v>
      </c>
      <c r="AB58" s="744"/>
    </row>
    <row r="59" spans="1:28" s="653" customFormat="1" ht="16.5" customHeight="1" x14ac:dyDescent="0.25">
      <c r="A59" s="1053"/>
      <c r="B59" s="737"/>
      <c r="C59" s="738" t="s">
        <v>1066</v>
      </c>
      <c r="D59" s="739">
        <v>1</v>
      </c>
      <c r="E59" s="740" t="s">
        <v>1067</v>
      </c>
      <c r="F59" s="727" t="s">
        <v>1032</v>
      </c>
      <c r="G59" s="675">
        <v>4680</v>
      </c>
      <c r="H59" s="674">
        <f t="shared" si="8"/>
        <v>4881.24</v>
      </c>
      <c r="I59" s="675">
        <v>0.01</v>
      </c>
      <c r="J59" s="675">
        <f t="shared" si="0"/>
        <v>48.81</v>
      </c>
      <c r="K59" s="675">
        <v>1.21</v>
      </c>
      <c r="L59" s="674">
        <f t="shared" si="1"/>
        <v>5965.36</v>
      </c>
      <c r="M59" s="741">
        <v>15</v>
      </c>
      <c r="N59" s="674">
        <f t="shared" si="2"/>
        <v>739.51</v>
      </c>
      <c r="O59" s="741"/>
      <c r="P59" s="674">
        <f t="shared" si="3"/>
        <v>0</v>
      </c>
      <c r="Q59" s="741">
        <v>15</v>
      </c>
      <c r="R59" s="674">
        <f t="shared" si="4"/>
        <v>1745.24</v>
      </c>
      <c r="S59" s="742">
        <v>50</v>
      </c>
      <c r="T59" s="678">
        <f t="shared" si="5"/>
        <v>5817.46</v>
      </c>
      <c r="U59" s="679">
        <f t="shared" si="6"/>
        <v>19197.62</v>
      </c>
      <c r="V59" s="678">
        <f t="shared" si="7"/>
        <v>2033.65</v>
      </c>
      <c r="W59" s="815">
        <f t="shared" si="10"/>
        <v>21231.27</v>
      </c>
      <c r="X59" s="743">
        <f t="shared" si="9"/>
        <v>18471.204900000001</v>
      </c>
      <c r="Y59" s="653" t="s">
        <v>254</v>
      </c>
      <c r="Z59" s="670" t="s">
        <v>1086</v>
      </c>
      <c r="AA59" s="744">
        <f t="shared" si="11"/>
        <v>20014.5</v>
      </c>
      <c r="AB59" s="744"/>
    </row>
    <row r="60" spans="1:28" s="653" customFormat="1" ht="16.5" customHeight="1" x14ac:dyDescent="0.25">
      <c r="A60" s="1053"/>
      <c r="B60" s="737"/>
      <c r="C60" s="738" t="s">
        <v>1066</v>
      </c>
      <c r="D60" s="739">
        <v>1</v>
      </c>
      <c r="E60" s="740" t="s">
        <v>1067</v>
      </c>
      <c r="F60" s="727" t="s">
        <v>1032</v>
      </c>
      <c r="G60" s="675">
        <v>4680</v>
      </c>
      <c r="H60" s="674">
        <f t="shared" si="8"/>
        <v>4881.24</v>
      </c>
      <c r="I60" s="675">
        <v>0.01</v>
      </c>
      <c r="J60" s="675">
        <f t="shared" si="0"/>
        <v>48.81</v>
      </c>
      <c r="K60" s="675">
        <v>1.5</v>
      </c>
      <c r="L60" s="674">
        <f t="shared" si="1"/>
        <v>7395.08</v>
      </c>
      <c r="M60" s="741">
        <v>15</v>
      </c>
      <c r="N60" s="674">
        <f t="shared" si="2"/>
        <v>739.51</v>
      </c>
      <c r="O60" s="741"/>
      <c r="P60" s="674">
        <f t="shared" si="3"/>
        <v>0</v>
      </c>
      <c r="Q60" s="741">
        <v>15</v>
      </c>
      <c r="R60" s="674">
        <f t="shared" si="4"/>
        <v>1959.7</v>
      </c>
      <c r="S60" s="742">
        <v>50</v>
      </c>
      <c r="T60" s="678">
        <f t="shared" si="5"/>
        <v>6532.32</v>
      </c>
      <c r="U60" s="679">
        <f t="shared" si="6"/>
        <v>21556.660000000003</v>
      </c>
      <c r="V60" s="678">
        <f t="shared" si="7"/>
        <v>2033.65</v>
      </c>
      <c r="W60" s="815">
        <f t="shared" si="10"/>
        <v>23590.310000000005</v>
      </c>
      <c r="X60" s="743">
        <f t="shared" si="9"/>
        <v>20523.569700000004</v>
      </c>
      <c r="Y60" s="653" t="s">
        <v>1069</v>
      </c>
      <c r="Z60" s="693" t="s">
        <v>1087</v>
      </c>
      <c r="AA60" s="744">
        <f t="shared" si="11"/>
        <v>20014.5</v>
      </c>
      <c r="AB60" s="744"/>
    </row>
    <row r="61" spans="1:28" s="653" customFormat="1" ht="16.5" customHeight="1" x14ac:dyDescent="0.25">
      <c r="A61" s="1053"/>
      <c r="B61" s="737"/>
      <c r="C61" s="738" t="s">
        <v>1066</v>
      </c>
      <c r="D61" s="739">
        <v>1</v>
      </c>
      <c r="E61" s="740" t="s">
        <v>1088</v>
      </c>
      <c r="F61" s="727" t="s">
        <v>1032</v>
      </c>
      <c r="G61" s="675">
        <v>5542</v>
      </c>
      <c r="H61" s="674">
        <f t="shared" si="8"/>
        <v>5780.3059999999996</v>
      </c>
      <c r="I61" s="675">
        <v>0.04</v>
      </c>
      <c r="J61" s="675">
        <f t="shared" si="0"/>
        <v>231.21</v>
      </c>
      <c r="K61" s="675">
        <v>0.78</v>
      </c>
      <c r="L61" s="674">
        <f t="shared" si="1"/>
        <v>4688.9799999999996</v>
      </c>
      <c r="M61" s="741">
        <v>15</v>
      </c>
      <c r="N61" s="674">
        <f t="shared" si="2"/>
        <v>901.73</v>
      </c>
      <c r="O61" s="741"/>
      <c r="P61" s="674">
        <f t="shared" si="3"/>
        <v>0</v>
      </c>
      <c r="Q61" s="741">
        <v>15</v>
      </c>
      <c r="R61" s="674">
        <f t="shared" si="4"/>
        <v>1740.33</v>
      </c>
      <c r="S61" s="742">
        <v>50</v>
      </c>
      <c r="T61" s="678">
        <f t="shared" si="5"/>
        <v>5801.11</v>
      </c>
      <c r="U61" s="679">
        <f t="shared" si="6"/>
        <v>19143.665999999997</v>
      </c>
      <c r="V61" s="678">
        <f t="shared" si="7"/>
        <v>2479.75</v>
      </c>
      <c r="W61" s="815">
        <f t="shared" si="10"/>
        <v>21623.415999999997</v>
      </c>
      <c r="X61" s="743">
        <f t="shared" si="9"/>
        <v>18812.371919999998</v>
      </c>
      <c r="Y61" s="762" t="s">
        <v>385</v>
      </c>
      <c r="Z61" s="670" t="s">
        <v>1089</v>
      </c>
      <c r="AA61" s="744">
        <f t="shared" si="11"/>
        <v>20014.5</v>
      </c>
      <c r="AB61" s="744"/>
    </row>
    <row r="62" spans="1:28" s="653" customFormat="1" ht="16.5" customHeight="1" thickBot="1" x14ac:dyDescent="0.3">
      <c r="A62" s="1053"/>
      <c r="B62" s="682"/>
      <c r="C62" s="683" t="s">
        <v>1066</v>
      </c>
      <c r="D62" s="684">
        <v>1</v>
      </c>
      <c r="E62" s="685" t="s">
        <v>1088</v>
      </c>
      <c r="F62" s="763" t="s">
        <v>1032</v>
      </c>
      <c r="G62" s="686">
        <v>5542</v>
      </c>
      <c r="H62" s="687">
        <f t="shared" si="8"/>
        <v>5780.3059999999996</v>
      </c>
      <c r="I62" s="686">
        <v>0.04</v>
      </c>
      <c r="J62" s="686">
        <f t="shared" si="0"/>
        <v>231.21</v>
      </c>
      <c r="K62" s="686">
        <v>0.78</v>
      </c>
      <c r="L62" s="687">
        <f t="shared" si="1"/>
        <v>4688.9799999999996</v>
      </c>
      <c r="M62" s="688">
        <v>15</v>
      </c>
      <c r="N62" s="687">
        <f t="shared" si="2"/>
        <v>901.73</v>
      </c>
      <c r="O62" s="688"/>
      <c r="P62" s="687">
        <f t="shared" si="3"/>
        <v>0</v>
      </c>
      <c r="Q62" s="688">
        <v>15</v>
      </c>
      <c r="R62" s="687">
        <f t="shared" si="4"/>
        <v>1740.33</v>
      </c>
      <c r="S62" s="689">
        <v>50</v>
      </c>
      <c r="T62" s="690">
        <f t="shared" si="5"/>
        <v>5801.11</v>
      </c>
      <c r="U62" s="691">
        <f t="shared" si="6"/>
        <v>19143.665999999997</v>
      </c>
      <c r="V62" s="690">
        <f t="shared" si="7"/>
        <v>2479.75</v>
      </c>
      <c r="W62" s="816">
        <f t="shared" si="10"/>
        <v>21623.415999999997</v>
      </c>
      <c r="X62" s="692">
        <f t="shared" si="9"/>
        <v>18812.371919999998</v>
      </c>
      <c r="Y62" s="762" t="s">
        <v>385</v>
      </c>
      <c r="Z62" s="670" t="s">
        <v>1090</v>
      </c>
      <c r="AA62" s="744">
        <f t="shared" si="11"/>
        <v>20014.5</v>
      </c>
      <c r="AB62" s="744"/>
    </row>
    <row r="63" spans="1:28" s="768" customFormat="1" ht="25.5" customHeight="1" x14ac:dyDescent="0.25">
      <c r="A63" s="1031" t="s">
        <v>1091</v>
      </c>
      <c r="B63" s="764"/>
      <c r="C63" s="765" t="s">
        <v>1092</v>
      </c>
      <c r="D63" s="697">
        <v>1</v>
      </c>
      <c r="E63" s="698"/>
      <c r="F63" s="698"/>
      <c r="G63" s="700">
        <f>G19*0.78</f>
        <v>26364</v>
      </c>
      <c r="H63" s="701">
        <f t="shared" si="8"/>
        <v>27497.651999999998</v>
      </c>
      <c r="I63" s="700"/>
      <c r="J63" s="700">
        <f t="shared" si="0"/>
        <v>0</v>
      </c>
      <c r="K63" s="700"/>
      <c r="L63" s="701">
        <f t="shared" si="1"/>
        <v>0</v>
      </c>
      <c r="M63" s="702">
        <v>15</v>
      </c>
      <c r="N63" s="701">
        <f t="shared" si="2"/>
        <v>4124.6499999999996</v>
      </c>
      <c r="O63" s="702"/>
      <c r="P63" s="701">
        <f t="shared" si="3"/>
        <v>0</v>
      </c>
      <c r="Q63" s="702">
        <v>15</v>
      </c>
      <c r="R63" s="701">
        <f t="shared" si="4"/>
        <v>4743.3500000000004</v>
      </c>
      <c r="S63" s="703">
        <v>50</v>
      </c>
      <c r="T63" s="704">
        <f t="shared" si="5"/>
        <v>15811.15</v>
      </c>
      <c r="U63" s="705">
        <f t="shared" si="6"/>
        <v>52176.801999999996</v>
      </c>
      <c r="V63" s="704">
        <f t="shared" si="7"/>
        <v>11342.78</v>
      </c>
      <c r="W63" s="817">
        <f t="shared" si="10"/>
        <v>63519.581999999995</v>
      </c>
      <c r="X63" s="706">
        <f t="shared" si="9"/>
        <v>55262.036339999999</v>
      </c>
      <c r="Y63" s="766"/>
      <c r="Z63" s="767" t="s">
        <v>203</v>
      </c>
      <c r="AA63" s="744">
        <f t="shared" si="11"/>
        <v>20014.5</v>
      </c>
      <c r="AB63" s="744"/>
    </row>
    <row r="64" spans="1:28" s="768" customFormat="1" ht="27" customHeight="1" x14ac:dyDescent="0.25">
      <c r="A64" s="1039"/>
      <c r="B64" s="737"/>
      <c r="C64" s="738" t="s">
        <v>1093</v>
      </c>
      <c r="D64" s="739">
        <v>1</v>
      </c>
      <c r="E64" s="740" t="s">
        <v>1094</v>
      </c>
      <c r="F64" s="727" t="s">
        <v>1032</v>
      </c>
      <c r="G64" s="675">
        <v>16120</v>
      </c>
      <c r="H64" s="674">
        <f t="shared" si="8"/>
        <v>16813.16</v>
      </c>
      <c r="I64" s="675">
        <v>0.05</v>
      </c>
      <c r="J64" s="675">
        <f t="shared" si="0"/>
        <v>840.66</v>
      </c>
      <c r="K64" s="675">
        <v>0.25</v>
      </c>
      <c r="L64" s="674">
        <f t="shared" si="1"/>
        <v>4413.46</v>
      </c>
      <c r="M64" s="741">
        <v>15</v>
      </c>
      <c r="N64" s="674">
        <f t="shared" si="2"/>
        <v>2648.07</v>
      </c>
      <c r="O64" s="741"/>
      <c r="P64" s="674">
        <f t="shared" si="3"/>
        <v>0</v>
      </c>
      <c r="Q64" s="741">
        <v>15</v>
      </c>
      <c r="R64" s="674">
        <f t="shared" si="4"/>
        <v>3707.3</v>
      </c>
      <c r="S64" s="742">
        <v>50</v>
      </c>
      <c r="T64" s="678">
        <f t="shared" si="5"/>
        <v>12357.68</v>
      </c>
      <c r="U64" s="679">
        <f t="shared" si="6"/>
        <v>40780.33</v>
      </c>
      <c r="V64" s="678">
        <f t="shared" si="7"/>
        <v>7282.2</v>
      </c>
      <c r="W64" s="815">
        <f t="shared" si="10"/>
        <v>48062.53</v>
      </c>
      <c r="X64" s="743">
        <f t="shared" si="9"/>
        <v>41814.401100000003</v>
      </c>
      <c r="Y64" s="769"/>
      <c r="Z64" s="767" t="s">
        <v>1095</v>
      </c>
      <c r="AA64" s="744">
        <f t="shared" si="11"/>
        <v>20014.5</v>
      </c>
      <c r="AB64" s="744"/>
    </row>
    <row r="65" spans="1:28" s="653" customFormat="1" ht="16.5" customHeight="1" x14ac:dyDescent="0.25">
      <c r="A65" s="1039"/>
      <c r="B65" s="737"/>
      <c r="C65" s="738" t="s">
        <v>1096</v>
      </c>
      <c r="D65" s="739">
        <v>1</v>
      </c>
      <c r="E65" s="740" t="s">
        <v>1097</v>
      </c>
      <c r="F65" s="727" t="s">
        <v>1032</v>
      </c>
      <c r="G65" s="675">
        <v>9360</v>
      </c>
      <c r="H65" s="674">
        <f t="shared" si="8"/>
        <v>9762.48</v>
      </c>
      <c r="I65" s="675">
        <v>0.02</v>
      </c>
      <c r="J65" s="675">
        <f t="shared" si="0"/>
        <v>195.25</v>
      </c>
      <c r="K65" s="675">
        <v>0.65</v>
      </c>
      <c r="L65" s="674">
        <f t="shared" si="1"/>
        <v>6472.52</v>
      </c>
      <c r="M65" s="741">
        <v>15</v>
      </c>
      <c r="N65" s="674">
        <f t="shared" si="2"/>
        <v>1493.66</v>
      </c>
      <c r="O65" s="741"/>
      <c r="P65" s="674">
        <f t="shared" si="3"/>
        <v>0</v>
      </c>
      <c r="Q65" s="741">
        <v>15</v>
      </c>
      <c r="R65" s="674">
        <f t="shared" si="4"/>
        <v>2688.59</v>
      </c>
      <c r="S65" s="742">
        <v>50</v>
      </c>
      <c r="T65" s="678">
        <f t="shared" si="5"/>
        <v>8961.9599999999991</v>
      </c>
      <c r="U65" s="679">
        <f t="shared" si="6"/>
        <v>29574.46</v>
      </c>
      <c r="V65" s="678">
        <f t="shared" si="7"/>
        <v>4107.5600000000004</v>
      </c>
      <c r="W65" s="815">
        <f t="shared" si="10"/>
        <v>33682.019999999997</v>
      </c>
      <c r="X65" s="743">
        <f t="shared" si="9"/>
        <v>29303.357400000001</v>
      </c>
      <c r="Y65" s="770"/>
      <c r="Z65" s="767" t="s">
        <v>1098</v>
      </c>
      <c r="AA65" s="744">
        <f t="shared" si="11"/>
        <v>20014.5</v>
      </c>
      <c r="AB65" s="744"/>
    </row>
    <row r="66" spans="1:28" s="653" customFormat="1" ht="16.5" customHeight="1" x14ac:dyDescent="0.25">
      <c r="A66" s="1039"/>
      <c r="B66" s="737"/>
      <c r="C66" s="738" t="s">
        <v>1099</v>
      </c>
      <c r="D66" s="739">
        <v>1</v>
      </c>
      <c r="E66" s="740" t="s">
        <v>1054</v>
      </c>
      <c r="F66" s="727" t="s">
        <v>1032</v>
      </c>
      <c r="G66" s="675">
        <v>10400</v>
      </c>
      <c r="H66" s="674">
        <f t="shared" si="8"/>
        <v>10847.199999999999</v>
      </c>
      <c r="I66" s="675">
        <v>0.04</v>
      </c>
      <c r="J66" s="675">
        <f t="shared" si="0"/>
        <v>433.89</v>
      </c>
      <c r="K66" s="675">
        <v>0.45</v>
      </c>
      <c r="L66" s="674">
        <f t="shared" si="1"/>
        <v>5076.49</v>
      </c>
      <c r="M66" s="741">
        <v>15</v>
      </c>
      <c r="N66" s="674">
        <f t="shared" si="2"/>
        <v>1692.16</v>
      </c>
      <c r="O66" s="741"/>
      <c r="P66" s="674">
        <f t="shared" si="3"/>
        <v>0</v>
      </c>
      <c r="Q66" s="741">
        <v>15</v>
      </c>
      <c r="R66" s="674">
        <f t="shared" si="4"/>
        <v>2707.46</v>
      </c>
      <c r="S66" s="742">
        <v>50</v>
      </c>
      <c r="T66" s="678">
        <f t="shared" si="5"/>
        <v>9024.8700000000008</v>
      </c>
      <c r="U66" s="679">
        <f t="shared" si="6"/>
        <v>29782.07</v>
      </c>
      <c r="V66" s="678">
        <f t="shared" si="7"/>
        <v>4653.45</v>
      </c>
      <c r="W66" s="815">
        <f t="shared" si="10"/>
        <v>34435.519999999997</v>
      </c>
      <c r="X66" s="743">
        <f t="shared" si="9"/>
        <v>29958.902400000003</v>
      </c>
      <c r="Y66" s="770"/>
      <c r="Z66" s="767"/>
      <c r="AA66" s="744">
        <f t="shared" si="11"/>
        <v>20014.5</v>
      </c>
      <c r="AB66" s="744"/>
    </row>
    <row r="67" spans="1:28" s="653" customFormat="1" ht="16.5" customHeight="1" x14ac:dyDescent="0.25">
      <c r="A67" s="1039"/>
      <c r="B67" s="737"/>
      <c r="C67" s="738" t="s">
        <v>1099</v>
      </c>
      <c r="D67" s="739">
        <v>1</v>
      </c>
      <c r="E67" s="740" t="s">
        <v>1054</v>
      </c>
      <c r="F67" s="727" t="s">
        <v>1032</v>
      </c>
      <c r="G67" s="675">
        <v>10400</v>
      </c>
      <c r="H67" s="674">
        <f t="shared" si="8"/>
        <v>10847.199999999999</v>
      </c>
      <c r="I67" s="675">
        <v>0.04</v>
      </c>
      <c r="J67" s="675">
        <f t="shared" si="0"/>
        <v>433.89</v>
      </c>
      <c r="K67" s="675">
        <v>0.71</v>
      </c>
      <c r="L67" s="674">
        <f t="shared" si="1"/>
        <v>8009.57</v>
      </c>
      <c r="M67" s="741">
        <v>15</v>
      </c>
      <c r="N67" s="674">
        <f t="shared" si="2"/>
        <v>1692.16</v>
      </c>
      <c r="O67" s="741"/>
      <c r="P67" s="674">
        <f t="shared" si="3"/>
        <v>0</v>
      </c>
      <c r="Q67" s="741">
        <v>15</v>
      </c>
      <c r="R67" s="674">
        <f t="shared" si="4"/>
        <v>3147.42</v>
      </c>
      <c r="S67" s="742">
        <v>50</v>
      </c>
      <c r="T67" s="678">
        <f t="shared" si="5"/>
        <v>10491.41</v>
      </c>
      <c r="U67" s="679">
        <f t="shared" si="6"/>
        <v>34621.649999999994</v>
      </c>
      <c r="V67" s="678">
        <f t="shared" si="7"/>
        <v>4653.45</v>
      </c>
      <c r="W67" s="815">
        <f t="shared" si="10"/>
        <v>39275.099999999991</v>
      </c>
      <c r="X67" s="743">
        <f t="shared" si="9"/>
        <v>34169.336999999992</v>
      </c>
      <c r="Y67" s="770"/>
      <c r="Z67" s="767" t="s">
        <v>1100</v>
      </c>
      <c r="AA67" s="744">
        <f t="shared" si="11"/>
        <v>20014.5</v>
      </c>
      <c r="AB67" s="744"/>
    </row>
    <row r="68" spans="1:28" s="653" customFormat="1" ht="16.5" customHeight="1" x14ac:dyDescent="0.25">
      <c r="A68" s="1039"/>
      <c r="B68" s="737"/>
      <c r="C68" s="738" t="s">
        <v>1099</v>
      </c>
      <c r="D68" s="739">
        <v>1</v>
      </c>
      <c r="E68" s="740" t="s">
        <v>1054</v>
      </c>
      <c r="F68" s="727" t="s">
        <v>1032</v>
      </c>
      <c r="G68" s="675">
        <v>10400</v>
      </c>
      <c r="H68" s="674">
        <f t="shared" si="8"/>
        <v>10847.199999999999</v>
      </c>
      <c r="I68" s="675">
        <v>0.04</v>
      </c>
      <c r="J68" s="675">
        <f t="shared" si="0"/>
        <v>433.89</v>
      </c>
      <c r="K68" s="675">
        <v>0.56999999999999995</v>
      </c>
      <c r="L68" s="674">
        <f t="shared" si="1"/>
        <v>6430.22</v>
      </c>
      <c r="M68" s="741">
        <v>15</v>
      </c>
      <c r="N68" s="674">
        <f t="shared" si="2"/>
        <v>1692.16</v>
      </c>
      <c r="O68" s="741"/>
      <c r="P68" s="674">
        <f t="shared" si="3"/>
        <v>0</v>
      </c>
      <c r="Q68" s="741">
        <v>15</v>
      </c>
      <c r="R68" s="674">
        <f t="shared" si="4"/>
        <v>2910.52</v>
      </c>
      <c r="S68" s="742">
        <v>50</v>
      </c>
      <c r="T68" s="678">
        <f t="shared" si="5"/>
        <v>9701.74</v>
      </c>
      <c r="U68" s="679">
        <f t="shared" si="6"/>
        <v>32015.729999999996</v>
      </c>
      <c r="V68" s="678">
        <f t="shared" si="7"/>
        <v>4653.45</v>
      </c>
      <c r="W68" s="815">
        <f>U68+V68</f>
        <v>36669.179999999993</v>
      </c>
      <c r="X68" s="743">
        <f t="shared" si="9"/>
        <v>31902.186599999997</v>
      </c>
      <c r="Y68" s="770"/>
      <c r="Z68" s="767" t="s">
        <v>1101</v>
      </c>
      <c r="AA68" s="744">
        <f t="shared" si="11"/>
        <v>20014.5</v>
      </c>
      <c r="AB68" s="744"/>
    </row>
    <row r="69" spans="1:28" s="653" customFormat="1" ht="17.25" customHeight="1" x14ac:dyDescent="0.25">
      <c r="A69" s="1039"/>
      <c r="B69" s="737"/>
      <c r="C69" s="738" t="s">
        <v>1102</v>
      </c>
      <c r="D69" s="739">
        <v>1</v>
      </c>
      <c r="E69" s="740" t="s">
        <v>1061</v>
      </c>
      <c r="F69" s="727" t="s">
        <v>1032</v>
      </c>
      <c r="G69" s="675">
        <v>8320</v>
      </c>
      <c r="H69" s="674">
        <f t="shared" si="8"/>
        <v>8677.76</v>
      </c>
      <c r="I69" s="675">
        <v>0.03</v>
      </c>
      <c r="J69" s="675">
        <f t="shared" si="0"/>
        <v>260.33</v>
      </c>
      <c r="K69" s="675">
        <v>0.8</v>
      </c>
      <c r="L69" s="674">
        <f t="shared" si="1"/>
        <v>7150.47</v>
      </c>
      <c r="M69" s="741">
        <v>15</v>
      </c>
      <c r="N69" s="674">
        <f t="shared" si="2"/>
        <v>1340.71</v>
      </c>
      <c r="O69" s="741"/>
      <c r="P69" s="674">
        <f t="shared" si="3"/>
        <v>0</v>
      </c>
      <c r="Q69" s="741">
        <v>15</v>
      </c>
      <c r="R69" s="674">
        <f t="shared" si="4"/>
        <v>2614.39</v>
      </c>
      <c r="S69" s="742">
        <v>50</v>
      </c>
      <c r="T69" s="678">
        <f t="shared" si="5"/>
        <v>8714.64</v>
      </c>
      <c r="U69" s="679">
        <f t="shared" si="6"/>
        <v>28758.3</v>
      </c>
      <c r="V69" s="678">
        <f t="shared" si="7"/>
        <v>3686.96</v>
      </c>
      <c r="W69" s="815">
        <f t="shared" si="10"/>
        <v>32445.26</v>
      </c>
      <c r="X69" s="743">
        <f t="shared" si="9"/>
        <v>28227.376199999999</v>
      </c>
      <c r="Y69" s="770"/>
      <c r="Z69" s="771" t="s">
        <v>1103</v>
      </c>
      <c r="AA69" s="744">
        <f t="shared" si="11"/>
        <v>20014.5</v>
      </c>
      <c r="AB69" s="744"/>
    </row>
    <row r="70" spans="1:28" s="653" customFormat="1" ht="16.5" customHeight="1" x14ac:dyDescent="0.25">
      <c r="A70" s="1039"/>
      <c r="B70" s="737"/>
      <c r="C70" s="738" t="s">
        <v>1102</v>
      </c>
      <c r="D70" s="739">
        <v>1</v>
      </c>
      <c r="E70" s="740" t="s">
        <v>1061</v>
      </c>
      <c r="F70" s="727" t="s">
        <v>1032</v>
      </c>
      <c r="G70" s="675">
        <v>8320</v>
      </c>
      <c r="H70" s="674">
        <f t="shared" si="8"/>
        <v>8677.76</v>
      </c>
      <c r="I70" s="675">
        <v>0.03</v>
      </c>
      <c r="J70" s="675">
        <f t="shared" si="0"/>
        <v>260.33</v>
      </c>
      <c r="K70" s="675">
        <v>0.72</v>
      </c>
      <c r="L70" s="674">
        <f t="shared" si="1"/>
        <v>6435.42</v>
      </c>
      <c r="M70" s="741">
        <v>15</v>
      </c>
      <c r="N70" s="674">
        <f t="shared" si="2"/>
        <v>1340.71</v>
      </c>
      <c r="O70" s="741"/>
      <c r="P70" s="674">
        <f t="shared" si="3"/>
        <v>0</v>
      </c>
      <c r="Q70" s="741">
        <v>15</v>
      </c>
      <c r="R70" s="674">
        <f t="shared" si="4"/>
        <v>2507.13</v>
      </c>
      <c r="S70" s="742">
        <v>50</v>
      </c>
      <c r="T70" s="678">
        <f t="shared" si="5"/>
        <v>8357.11</v>
      </c>
      <c r="U70" s="679">
        <f t="shared" si="6"/>
        <v>27578.460000000003</v>
      </c>
      <c r="V70" s="678">
        <f t="shared" si="7"/>
        <v>3686.96</v>
      </c>
      <c r="W70" s="815">
        <f t="shared" si="10"/>
        <v>31265.420000000002</v>
      </c>
      <c r="X70" s="743">
        <f t="shared" si="9"/>
        <v>27200.915400000002</v>
      </c>
      <c r="Y70" s="770"/>
      <c r="Z70" s="767" t="s">
        <v>1104</v>
      </c>
      <c r="AA70" s="744">
        <f t="shared" si="11"/>
        <v>20014.5</v>
      </c>
      <c r="AB70" s="744"/>
    </row>
    <row r="71" spans="1:28" s="653" customFormat="1" ht="16.5" customHeight="1" x14ac:dyDescent="0.25">
      <c r="A71" s="1039"/>
      <c r="B71" s="772"/>
      <c r="C71" s="738" t="s">
        <v>1102</v>
      </c>
      <c r="D71" s="739">
        <v>1</v>
      </c>
      <c r="E71" s="740" t="s">
        <v>1061</v>
      </c>
      <c r="F71" s="727" t="s">
        <v>1032</v>
      </c>
      <c r="G71" s="675">
        <v>8320</v>
      </c>
      <c r="H71" s="674">
        <f t="shared" si="8"/>
        <v>8677.76</v>
      </c>
      <c r="I71" s="675">
        <v>0.03</v>
      </c>
      <c r="J71" s="675">
        <f t="shared" si="0"/>
        <v>260.33</v>
      </c>
      <c r="K71" s="675">
        <v>0.72</v>
      </c>
      <c r="L71" s="674">
        <f t="shared" si="1"/>
        <v>6435.42</v>
      </c>
      <c r="M71" s="741">
        <v>15</v>
      </c>
      <c r="N71" s="674">
        <f t="shared" si="2"/>
        <v>1340.71</v>
      </c>
      <c r="O71" s="741"/>
      <c r="P71" s="674">
        <f t="shared" si="3"/>
        <v>0</v>
      </c>
      <c r="Q71" s="741">
        <v>15</v>
      </c>
      <c r="R71" s="674">
        <f t="shared" si="4"/>
        <v>2507.13</v>
      </c>
      <c r="S71" s="742">
        <v>50</v>
      </c>
      <c r="T71" s="678">
        <f t="shared" si="5"/>
        <v>8357.11</v>
      </c>
      <c r="U71" s="679">
        <f t="shared" si="6"/>
        <v>27578.460000000003</v>
      </c>
      <c r="V71" s="678">
        <f t="shared" si="7"/>
        <v>3686.96</v>
      </c>
      <c r="W71" s="815">
        <f>U71+V71</f>
        <v>31265.420000000002</v>
      </c>
      <c r="X71" s="743">
        <f t="shared" si="9"/>
        <v>27200.915400000002</v>
      </c>
      <c r="Y71" s="770"/>
      <c r="Z71" s="767" t="s">
        <v>1105</v>
      </c>
      <c r="AA71" s="744">
        <f t="shared" si="11"/>
        <v>20014.5</v>
      </c>
      <c r="AB71" s="744"/>
    </row>
    <row r="72" spans="1:28" s="768" customFormat="1" ht="16.5" customHeight="1" x14ac:dyDescent="0.25">
      <c r="A72" s="1039" t="s">
        <v>1106</v>
      </c>
      <c r="B72" s="737"/>
      <c r="C72" s="738" t="s">
        <v>1030</v>
      </c>
      <c r="D72" s="739">
        <v>1</v>
      </c>
      <c r="E72" s="740" t="s">
        <v>1056</v>
      </c>
      <c r="F72" s="727" t="s">
        <v>1032</v>
      </c>
      <c r="G72" s="675">
        <v>11440</v>
      </c>
      <c r="H72" s="674">
        <f t="shared" si="8"/>
        <v>11931.92</v>
      </c>
      <c r="I72" s="675">
        <v>0.01</v>
      </c>
      <c r="J72" s="675">
        <f t="shared" si="0"/>
        <v>119.32</v>
      </c>
      <c r="K72" s="675">
        <v>0.8</v>
      </c>
      <c r="L72" s="674">
        <f t="shared" si="1"/>
        <v>9640.99</v>
      </c>
      <c r="M72" s="741">
        <v>15</v>
      </c>
      <c r="N72" s="674">
        <f t="shared" si="2"/>
        <v>1807.69</v>
      </c>
      <c r="O72" s="741"/>
      <c r="P72" s="674">
        <f t="shared" si="3"/>
        <v>0</v>
      </c>
      <c r="Q72" s="741">
        <v>15</v>
      </c>
      <c r="R72" s="674">
        <f t="shared" si="4"/>
        <v>3524.99</v>
      </c>
      <c r="S72" s="742">
        <v>50</v>
      </c>
      <c r="T72" s="678">
        <f t="shared" si="5"/>
        <v>11749.96</v>
      </c>
      <c r="U72" s="679">
        <f t="shared" si="6"/>
        <v>38774.869999999995</v>
      </c>
      <c r="V72" s="678">
        <f t="shared" si="7"/>
        <v>4971.1400000000003</v>
      </c>
      <c r="W72" s="815">
        <f t="shared" si="10"/>
        <v>43746.009999999995</v>
      </c>
      <c r="X72" s="743">
        <f t="shared" si="9"/>
        <v>38059.028699999995</v>
      </c>
      <c r="Y72" s="769"/>
      <c r="Z72" s="767" t="s">
        <v>1107</v>
      </c>
      <c r="AA72" s="744">
        <f t="shared" si="11"/>
        <v>20014.5</v>
      </c>
      <c r="AB72" s="744"/>
    </row>
    <row r="73" spans="1:28" s="653" customFormat="1" ht="16.5" customHeight="1" x14ac:dyDescent="0.25">
      <c r="A73" s="1039"/>
      <c r="B73" s="737"/>
      <c r="C73" s="738" t="s">
        <v>1108</v>
      </c>
      <c r="D73" s="739">
        <v>1</v>
      </c>
      <c r="E73" s="740" t="s">
        <v>1067</v>
      </c>
      <c r="F73" s="727" t="s">
        <v>1032</v>
      </c>
      <c r="G73" s="675">
        <v>6240</v>
      </c>
      <c r="H73" s="674">
        <f t="shared" si="8"/>
        <v>6508.32</v>
      </c>
      <c r="I73" s="675">
        <v>0.01</v>
      </c>
      <c r="J73" s="675">
        <f t="shared" si="0"/>
        <v>65.08</v>
      </c>
      <c r="K73" s="675">
        <v>1.17</v>
      </c>
      <c r="L73" s="674">
        <f t="shared" si="1"/>
        <v>7690.88</v>
      </c>
      <c r="M73" s="741">
        <v>15</v>
      </c>
      <c r="N73" s="674">
        <f t="shared" si="2"/>
        <v>986.01</v>
      </c>
      <c r="O73" s="741"/>
      <c r="P73" s="674">
        <f t="shared" si="3"/>
        <v>0</v>
      </c>
      <c r="Q73" s="741">
        <v>15</v>
      </c>
      <c r="R73" s="674">
        <f t="shared" si="4"/>
        <v>2287.54</v>
      </c>
      <c r="S73" s="742">
        <v>50</v>
      </c>
      <c r="T73" s="678">
        <f t="shared" si="5"/>
        <v>7625.15</v>
      </c>
      <c r="U73" s="679">
        <f t="shared" si="6"/>
        <v>25162.979999999996</v>
      </c>
      <c r="V73" s="678">
        <f t="shared" si="7"/>
        <v>2711.53</v>
      </c>
      <c r="W73" s="815">
        <f t="shared" si="10"/>
        <v>27874.509999999995</v>
      </c>
      <c r="X73" s="743">
        <f t="shared" si="9"/>
        <v>24250.823699999994</v>
      </c>
      <c r="Y73" s="770"/>
      <c r="Z73" s="767" t="s">
        <v>1109</v>
      </c>
      <c r="AA73" s="744">
        <f t="shared" si="11"/>
        <v>20014.5</v>
      </c>
      <c r="AB73" s="744"/>
    </row>
    <row r="74" spans="1:28" s="653" customFormat="1" ht="16.5" customHeight="1" x14ac:dyDescent="0.25">
      <c r="A74" s="1039"/>
      <c r="B74" s="737"/>
      <c r="C74" s="738" t="s">
        <v>1108</v>
      </c>
      <c r="D74" s="739">
        <v>1</v>
      </c>
      <c r="E74" s="740" t="s">
        <v>1067</v>
      </c>
      <c r="F74" s="727" t="s">
        <v>1032</v>
      </c>
      <c r="G74" s="675">
        <v>6240</v>
      </c>
      <c r="H74" s="674">
        <f t="shared" si="8"/>
        <v>6508.32</v>
      </c>
      <c r="I74" s="675">
        <v>0.01</v>
      </c>
      <c r="J74" s="675">
        <f t="shared" si="0"/>
        <v>65.08</v>
      </c>
      <c r="K74" s="675">
        <v>1.37</v>
      </c>
      <c r="L74" s="674">
        <f t="shared" si="1"/>
        <v>9005.56</v>
      </c>
      <c r="M74" s="741">
        <v>15</v>
      </c>
      <c r="N74" s="674">
        <f t="shared" si="2"/>
        <v>986.01</v>
      </c>
      <c r="O74" s="741"/>
      <c r="P74" s="674">
        <f t="shared" si="3"/>
        <v>0</v>
      </c>
      <c r="Q74" s="741">
        <v>15</v>
      </c>
      <c r="R74" s="674">
        <f t="shared" si="4"/>
        <v>2484.75</v>
      </c>
      <c r="S74" s="742">
        <v>50</v>
      </c>
      <c r="T74" s="678">
        <f t="shared" si="5"/>
        <v>8282.49</v>
      </c>
      <c r="U74" s="679">
        <f t="shared" si="6"/>
        <v>27332.21</v>
      </c>
      <c r="V74" s="678">
        <f t="shared" si="7"/>
        <v>2711.53</v>
      </c>
      <c r="W74" s="815">
        <f t="shared" si="10"/>
        <v>30043.739999999998</v>
      </c>
      <c r="X74" s="743">
        <f t="shared" si="9"/>
        <v>26138.053799999998</v>
      </c>
      <c r="Y74" s="770"/>
      <c r="Z74" s="773" t="s">
        <v>1110</v>
      </c>
      <c r="AA74" s="744">
        <f t="shared" si="11"/>
        <v>20014.5</v>
      </c>
      <c r="AB74" s="744"/>
    </row>
    <row r="75" spans="1:28" s="653" customFormat="1" ht="16.5" customHeight="1" x14ac:dyDescent="0.25">
      <c r="A75" s="1039"/>
      <c r="B75" s="737"/>
      <c r="C75" s="738" t="s">
        <v>1111</v>
      </c>
      <c r="D75" s="739">
        <v>1</v>
      </c>
      <c r="E75" s="740" t="s">
        <v>1054</v>
      </c>
      <c r="F75" s="727" t="s">
        <v>1032</v>
      </c>
      <c r="G75" s="675">
        <v>6448</v>
      </c>
      <c r="H75" s="674">
        <f t="shared" si="8"/>
        <v>6725.2639999999992</v>
      </c>
      <c r="I75" s="675">
        <v>0.04</v>
      </c>
      <c r="J75" s="675">
        <f t="shared" si="0"/>
        <v>269.01</v>
      </c>
      <c r="K75" s="675">
        <v>1.37</v>
      </c>
      <c r="L75" s="674">
        <f t="shared" si="1"/>
        <v>9582.16</v>
      </c>
      <c r="M75" s="741">
        <v>15</v>
      </c>
      <c r="N75" s="674">
        <f t="shared" si="2"/>
        <v>1049.1400000000001</v>
      </c>
      <c r="O75" s="741"/>
      <c r="P75" s="674">
        <f t="shared" si="3"/>
        <v>0</v>
      </c>
      <c r="Q75" s="741">
        <v>15</v>
      </c>
      <c r="R75" s="674">
        <f t="shared" si="4"/>
        <v>2643.84</v>
      </c>
      <c r="S75" s="742">
        <v>50</v>
      </c>
      <c r="T75" s="678">
        <f t="shared" si="5"/>
        <v>8812.7900000000009</v>
      </c>
      <c r="U75" s="679">
        <f t="shared" si="6"/>
        <v>29082.204000000002</v>
      </c>
      <c r="V75" s="678">
        <f t="shared" si="7"/>
        <v>2885.14</v>
      </c>
      <c r="W75" s="815">
        <f t="shared" si="10"/>
        <v>31967.344000000001</v>
      </c>
      <c r="X75" s="743">
        <f t="shared" si="9"/>
        <v>27811.58928</v>
      </c>
      <c r="Y75" s="770"/>
      <c r="Z75" s="767" t="s">
        <v>1112</v>
      </c>
      <c r="AA75" s="744">
        <f t="shared" si="11"/>
        <v>20014.5</v>
      </c>
      <c r="AB75" s="744"/>
    </row>
    <row r="76" spans="1:28" s="653" customFormat="1" ht="16.5" customHeight="1" x14ac:dyDescent="0.25">
      <c r="A76" s="1039"/>
      <c r="B76" s="737"/>
      <c r="C76" s="738" t="s">
        <v>1113</v>
      </c>
      <c r="D76" s="739">
        <v>1</v>
      </c>
      <c r="E76" s="740" t="s">
        <v>1040</v>
      </c>
      <c r="F76" s="727" t="s">
        <v>1043</v>
      </c>
      <c r="G76" s="675">
        <v>5200</v>
      </c>
      <c r="H76" s="674">
        <f t="shared" si="8"/>
        <v>5423.5999999999995</v>
      </c>
      <c r="I76" s="675">
        <v>0.01</v>
      </c>
      <c r="J76" s="675">
        <f t="shared" si="0"/>
        <v>54.24</v>
      </c>
      <c r="K76" s="675">
        <v>1.59</v>
      </c>
      <c r="L76" s="674">
        <f t="shared" si="1"/>
        <v>8709.77</v>
      </c>
      <c r="M76" s="741">
        <v>15</v>
      </c>
      <c r="N76" s="674">
        <f t="shared" si="2"/>
        <v>821.68</v>
      </c>
      <c r="O76" s="741"/>
      <c r="P76" s="674">
        <f t="shared" si="3"/>
        <v>0</v>
      </c>
      <c r="Q76" s="741">
        <v>15</v>
      </c>
      <c r="R76" s="674">
        <f t="shared" si="4"/>
        <v>2251.39</v>
      </c>
      <c r="S76" s="742">
        <v>50</v>
      </c>
      <c r="T76" s="678">
        <f t="shared" si="5"/>
        <v>7504.65</v>
      </c>
      <c r="U76" s="679">
        <f t="shared" si="6"/>
        <v>24765.33</v>
      </c>
      <c r="V76" s="678">
        <f t="shared" si="7"/>
        <v>2259.61</v>
      </c>
      <c r="W76" s="815">
        <f t="shared" si="10"/>
        <v>27024.940000000002</v>
      </c>
      <c r="X76" s="743">
        <f t="shared" si="9"/>
        <v>23511.697800000002</v>
      </c>
      <c r="Y76" s="770"/>
      <c r="Z76" s="767" t="s">
        <v>1114</v>
      </c>
      <c r="AA76" s="744">
        <f t="shared" si="11"/>
        <v>20014.5</v>
      </c>
      <c r="AB76" s="744"/>
    </row>
    <row r="77" spans="1:28" s="653" customFormat="1" ht="39" customHeight="1" thickBot="1" x14ac:dyDescent="0.3">
      <c r="A77" s="1044"/>
      <c r="B77" s="682"/>
      <c r="C77" s="683" t="s">
        <v>1115</v>
      </c>
      <c r="D77" s="684">
        <v>1</v>
      </c>
      <c r="E77" s="685" t="s">
        <v>1040</v>
      </c>
      <c r="F77" s="763" t="s">
        <v>1032</v>
      </c>
      <c r="G77" s="686">
        <v>6968</v>
      </c>
      <c r="H77" s="687">
        <f t="shared" si="8"/>
        <v>7267.6239999999998</v>
      </c>
      <c r="I77" s="686">
        <v>0.01</v>
      </c>
      <c r="J77" s="686">
        <f t="shared" si="0"/>
        <v>72.680000000000007</v>
      </c>
      <c r="K77" s="686">
        <v>1.96</v>
      </c>
      <c r="L77" s="687">
        <f t="shared" si="1"/>
        <v>14387</v>
      </c>
      <c r="M77" s="688">
        <v>15</v>
      </c>
      <c r="N77" s="687">
        <f t="shared" si="2"/>
        <v>1101.05</v>
      </c>
      <c r="O77" s="688"/>
      <c r="P77" s="687">
        <f t="shared" si="3"/>
        <v>0</v>
      </c>
      <c r="Q77" s="688">
        <v>15</v>
      </c>
      <c r="R77" s="687">
        <f t="shared" si="4"/>
        <v>3424.25</v>
      </c>
      <c r="S77" s="689">
        <v>50</v>
      </c>
      <c r="T77" s="690">
        <f t="shared" si="5"/>
        <v>11414.18</v>
      </c>
      <c r="U77" s="691">
        <f t="shared" si="6"/>
        <v>37666.784</v>
      </c>
      <c r="V77" s="690">
        <f t="shared" si="7"/>
        <v>3027.88</v>
      </c>
      <c r="W77" s="816">
        <f t="shared" si="10"/>
        <v>40694.663999999997</v>
      </c>
      <c r="X77" s="692">
        <f t="shared" si="9"/>
        <v>35404.357680000001</v>
      </c>
      <c r="Y77" s="811">
        <f>SUM(W63:W77)</f>
        <v>551971.24</v>
      </c>
      <c r="Z77" s="856" t="s">
        <v>1116</v>
      </c>
      <c r="AA77" s="744">
        <f t="shared" si="11"/>
        <v>20014.5</v>
      </c>
      <c r="AB77" s="744"/>
    </row>
    <row r="78" spans="1:28" s="768" customFormat="1" ht="16.5" customHeight="1" x14ac:dyDescent="0.25">
      <c r="A78" s="1031" t="s">
        <v>702</v>
      </c>
      <c r="B78" s="764"/>
      <c r="C78" s="765" t="s">
        <v>1030</v>
      </c>
      <c r="D78" s="697">
        <v>1</v>
      </c>
      <c r="E78" s="698"/>
      <c r="F78" s="752" t="s">
        <v>1117</v>
      </c>
      <c r="G78" s="700">
        <v>11440</v>
      </c>
      <c r="H78" s="701">
        <f t="shared" si="8"/>
        <v>11931.92</v>
      </c>
      <c r="I78" s="700">
        <v>0.01</v>
      </c>
      <c r="J78" s="700">
        <f t="shared" si="0"/>
        <v>119.32</v>
      </c>
      <c r="K78" s="700">
        <v>0.75</v>
      </c>
      <c r="L78" s="701">
        <f t="shared" si="1"/>
        <v>9038.43</v>
      </c>
      <c r="M78" s="702">
        <v>15</v>
      </c>
      <c r="N78" s="701">
        <f t="shared" si="2"/>
        <v>1807.69</v>
      </c>
      <c r="O78" s="702">
        <v>4</v>
      </c>
      <c r="P78" s="701">
        <f t="shared" si="3"/>
        <v>482.05</v>
      </c>
      <c r="Q78" s="702">
        <v>15</v>
      </c>
      <c r="R78" s="701">
        <f t="shared" si="4"/>
        <v>3506.91</v>
      </c>
      <c r="S78" s="703">
        <v>50</v>
      </c>
      <c r="T78" s="704">
        <f t="shared" si="5"/>
        <v>11689.71</v>
      </c>
      <c r="U78" s="705">
        <f t="shared" si="6"/>
        <v>38576.03</v>
      </c>
      <c r="V78" s="704">
        <f t="shared" si="7"/>
        <v>4971.1400000000003</v>
      </c>
      <c r="W78" s="817">
        <f t="shared" si="10"/>
        <v>43547.17</v>
      </c>
      <c r="X78" s="706">
        <f t="shared" si="9"/>
        <v>37886.037899999996</v>
      </c>
      <c r="Y78" s="831"/>
      <c r="Z78" s="827" t="s">
        <v>1118</v>
      </c>
      <c r="AA78" s="746">
        <f t="shared" si="11"/>
        <v>20014.5</v>
      </c>
      <c r="AB78" s="810"/>
    </row>
    <row r="79" spans="1:28" s="653" customFormat="1" ht="16.5" customHeight="1" x14ac:dyDescent="0.25">
      <c r="A79" s="1039"/>
      <c r="B79" s="737"/>
      <c r="C79" s="738" t="s">
        <v>1111</v>
      </c>
      <c r="D79" s="739">
        <v>1</v>
      </c>
      <c r="E79" s="740" t="s">
        <v>1054</v>
      </c>
      <c r="F79" s="727" t="s">
        <v>1117</v>
      </c>
      <c r="G79" s="675">
        <v>6448</v>
      </c>
      <c r="H79" s="674">
        <f t="shared" si="8"/>
        <v>6725.2639999999992</v>
      </c>
      <c r="I79" s="675">
        <v>0.04</v>
      </c>
      <c r="J79" s="675">
        <f t="shared" si="0"/>
        <v>269.01</v>
      </c>
      <c r="K79" s="675">
        <v>1.54</v>
      </c>
      <c r="L79" s="674">
        <f t="shared" si="1"/>
        <v>10771.18</v>
      </c>
      <c r="M79" s="741">
        <v>15</v>
      </c>
      <c r="N79" s="674">
        <f t="shared" si="2"/>
        <v>1049.1400000000001</v>
      </c>
      <c r="O79" s="741">
        <v>4</v>
      </c>
      <c r="P79" s="674">
        <f t="shared" si="3"/>
        <v>279.77</v>
      </c>
      <c r="Q79" s="741">
        <v>15</v>
      </c>
      <c r="R79" s="674">
        <f t="shared" si="4"/>
        <v>2864.15</v>
      </c>
      <c r="S79" s="742">
        <v>50</v>
      </c>
      <c r="T79" s="678">
        <f t="shared" si="5"/>
        <v>9547.18</v>
      </c>
      <c r="U79" s="679">
        <f t="shared" si="6"/>
        <v>31505.694</v>
      </c>
      <c r="V79" s="678">
        <f t="shared" si="7"/>
        <v>2885.14</v>
      </c>
      <c r="W79" s="815">
        <f t="shared" si="10"/>
        <v>34390.834000000003</v>
      </c>
      <c r="X79" s="743">
        <f t="shared" si="9"/>
        <v>29920.025579999998</v>
      </c>
      <c r="Y79" s="756"/>
      <c r="Z79" s="670" t="s">
        <v>1119</v>
      </c>
      <c r="AA79" s="750">
        <f t="shared" si="11"/>
        <v>20014.5</v>
      </c>
      <c r="AB79" s="811"/>
    </row>
    <row r="80" spans="1:28" s="653" customFormat="1" ht="17.25" customHeight="1" x14ac:dyDescent="0.25">
      <c r="A80" s="1039"/>
      <c r="B80" s="737"/>
      <c r="C80" s="738" t="s">
        <v>1120</v>
      </c>
      <c r="D80" s="739">
        <v>1</v>
      </c>
      <c r="E80" s="740" t="s">
        <v>1061</v>
      </c>
      <c r="F80" s="727" t="s">
        <v>1117</v>
      </c>
      <c r="G80" s="675">
        <v>6136</v>
      </c>
      <c r="H80" s="674">
        <f t="shared" si="8"/>
        <v>6399.848</v>
      </c>
      <c r="I80" s="675">
        <v>0.03</v>
      </c>
      <c r="J80" s="675">
        <f t="shared" si="0"/>
        <v>192</v>
      </c>
      <c r="K80" s="675">
        <v>1.37</v>
      </c>
      <c r="L80" s="674">
        <f t="shared" si="1"/>
        <v>9030.83</v>
      </c>
      <c r="M80" s="741">
        <v>15</v>
      </c>
      <c r="N80" s="674">
        <f t="shared" si="2"/>
        <v>988.78</v>
      </c>
      <c r="O80" s="741">
        <v>4</v>
      </c>
      <c r="P80" s="674">
        <f t="shared" si="3"/>
        <v>263.67</v>
      </c>
      <c r="Q80" s="741">
        <v>15</v>
      </c>
      <c r="R80" s="674">
        <f t="shared" si="4"/>
        <v>2531.27</v>
      </c>
      <c r="S80" s="742">
        <v>50</v>
      </c>
      <c r="T80" s="678">
        <f t="shared" si="5"/>
        <v>8437.56</v>
      </c>
      <c r="U80" s="679">
        <f t="shared" si="6"/>
        <v>27843.957999999999</v>
      </c>
      <c r="V80" s="678">
        <f t="shared" si="7"/>
        <v>2719.14</v>
      </c>
      <c r="W80" s="815">
        <f t="shared" si="10"/>
        <v>30563.097999999998</v>
      </c>
      <c r="X80" s="743">
        <f t="shared" si="9"/>
        <v>26589.895259999998</v>
      </c>
      <c r="Y80" s="756"/>
      <c r="Z80" s="670" t="s">
        <v>1121</v>
      </c>
      <c r="AA80" s="750">
        <f t="shared" si="11"/>
        <v>20014.5</v>
      </c>
      <c r="AB80" s="811"/>
    </row>
    <row r="81" spans="1:28" s="653" customFormat="1" ht="16.5" customHeight="1" thickBot="1" x14ac:dyDescent="0.3">
      <c r="A81" s="1040"/>
      <c r="B81" s="774"/>
      <c r="C81" s="775" t="s">
        <v>1122</v>
      </c>
      <c r="D81" s="712">
        <v>1</v>
      </c>
      <c r="E81" s="713" t="s">
        <v>1067</v>
      </c>
      <c r="F81" s="759" t="s">
        <v>1032</v>
      </c>
      <c r="G81" s="714">
        <v>4680</v>
      </c>
      <c r="H81" s="715">
        <f t="shared" si="8"/>
        <v>4881.24</v>
      </c>
      <c r="I81" s="714">
        <v>0.01</v>
      </c>
      <c r="J81" s="714">
        <f t="shared" si="0"/>
        <v>48.81</v>
      </c>
      <c r="K81" s="714">
        <v>1.1000000000000001</v>
      </c>
      <c r="L81" s="715">
        <f t="shared" si="1"/>
        <v>5423.06</v>
      </c>
      <c r="M81" s="716">
        <v>15</v>
      </c>
      <c r="N81" s="715">
        <f t="shared" si="2"/>
        <v>739.51</v>
      </c>
      <c r="O81" s="716">
        <v>4</v>
      </c>
      <c r="P81" s="715">
        <f t="shared" si="3"/>
        <v>197.2</v>
      </c>
      <c r="Q81" s="716">
        <v>15</v>
      </c>
      <c r="R81" s="715">
        <f t="shared" si="4"/>
        <v>1693.47</v>
      </c>
      <c r="S81" s="717">
        <v>50</v>
      </c>
      <c r="T81" s="718">
        <f t="shared" si="5"/>
        <v>5644.91</v>
      </c>
      <c r="U81" s="719">
        <f t="shared" si="6"/>
        <v>18628.2</v>
      </c>
      <c r="V81" s="718">
        <f t="shared" si="7"/>
        <v>2033.65</v>
      </c>
      <c r="W81" s="818">
        <f t="shared" si="10"/>
        <v>20661.850000000002</v>
      </c>
      <c r="X81" s="720">
        <f t="shared" si="9"/>
        <v>17975.809499999999</v>
      </c>
      <c r="Y81" s="721"/>
      <c r="Z81" s="829" t="s">
        <v>1123</v>
      </c>
      <c r="AA81" s="760">
        <f t="shared" si="11"/>
        <v>20014.5</v>
      </c>
      <c r="AB81" s="776"/>
    </row>
    <row r="82" spans="1:28" s="653" customFormat="1" ht="16.5" customHeight="1" thickBot="1" x14ac:dyDescent="0.3">
      <c r="A82" s="857"/>
      <c r="B82" s="858"/>
      <c r="C82" s="859" t="s">
        <v>1124</v>
      </c>
      <c r="D82" s="860">
        <v>1</v>
      </c>
      <c r="E82" s="861" t="s">
        <v>1125</v>
      </c>
      <c r="F82" s="862" t="s">
        <v>1032</v>
      </c>
      <c r="G82" s="863">
        <v>5720</v>
      </c>
      <c r="H82" s="864">
        <f t="shared" si="8"/>
        <v>5965.96</v>
      </c>
      <c r="I82" s="863">
        <v>0.01</v>
      </c>
      <c r="J82" s="863">
        <f t="shared" si="0"/>
        <v>59.66</v>
      </c>
      <c r="K82" s="863">
        <v>1.28</v>
      </c>
      <c r="L82" s="864">
        <f t="shared" si="1"/>
        <v>7712.79</v>
      </c>
      <c r="M82" s="865">
        <v>15</v>
      </c>
      <c r="N82" s="864">
        <f t="shared" si="2"/>
        <v>903.84</v>
      </c>
      <c r="O82" s="865"/>
      <c r="P82" s="864">
        <f t="shared" si="3"/>
        <v>0</v>
      </c>
      <c r="Q82" s="865">
        <v>15</v>
      </c>
      <c r="R82" s="864">
        <f t="shared" si="4"/>
        <v>2196.34</v>
      </c>
      <c r="S82" s="866">
        <v>50</v>
      </c>
      <c r="T82" s="867">
        <f t="shared" si="5"/>
        <v>7321.13</v>
      </c>
      <c r="U82" s="868">
        <f t="shared" si="6"/>
        <v>24159.72</v>
      </c>
      <c r="V82" s="867">
        <f t="shared" si="7"/>
        <v>2485.5700000000002</v>
      </c>
      <c r="W82" s="869">
        <f t="shared" si="10"/>
        <v>26645.29</v>
      </c>
      <c r="X82" s="870">
        <f t="shared" si="9"/>
        <v>23181.402300000002</v>
      </c>
      <c r="Z82" s="871" t="s">
        <v>1126</v>
      </c>
      <c r="AA82" s="744">
        <f t="shared" si="11"/>
        <v>20014.5</v>
      </c>
      <c r="AB82" s="744"/>
    </row>
    <row r="83" spans="1:28" s="768" customFormat="1" ht="16.5" customHeight="1" x14ac:dyDescent="0.25">
      <c r="A83" s="1031" t="s">
        <v>1127</v>
      </c>
      <c r="B83" s="764"/>
      <c r="C83" s="765" t="s">
        <v>1128</v>
      </c>
      <c r="D83" s="697">
        <v>1</v>
      </c>
      <c r="E83" s="698" t="s">
        <v>1129</v>
      </c>
      <c r="F83" s="752" t="s">
        <v>1117</v>
      </c>
      <c r="G83" s="700">
        <v>12792</v>
      </c>
      <c r="H83" s="701">
        <f t="shared" si="8"/>
        <v>13342.055999999999</v>
      </c>
      <c r="I83" s="700">
        <v>0.03</v>
      </c>
      <c r="J83" s="700">
        <f t="shared" ref="J83:J146" si="13">ROUND((H83*I83),2)</f>
        <v>400.26</v>
      </c>
      <c r="K83" s="700">
        <v>0.41</v>
      </c>
      <c r="L83" s="701">
        <f t="shared" ref="L83:L146" si="14">ROUND(((H83+J83)*K83),2)</f>
        <v>5634.35</v>
      </c>
      <c r="M83" s="702">
        <v>15</v>
      </c>
      <c r="N83" s="701">
        <f t="shared" ref="N83:N146" si="15">ROUND(((H83+J83)/100*M83),2)</f>
        <v>2061.35</v>
      </c>
      <c r="O83" s="702">
        <v>4</v>
      </c>
      <c r="P83" s="701">
        <f t="shared" ref="P83:P146" si="16">ROUND(((H83+J83)/100*O83),2)</f>
        <v>549.69000000000005</v>
      </c>
      <c r="Q83" s="702">
        <v>15</v>
      </c>
      <c r="R83" s="701">
        <f t="shared" ref="R83:R146" si="17">ROUND(((H83+J83+L83+N83+P83)/100*Q83),2)</f>
        <v>3298.16</v>
      </c>
      <c r="S83" s="703">
        <v>50</v>
      </c>
      <c r="T83" s="704">
        <f t="shared" ref="T83:T146" si="18">ROUND(((H83+J83+L83+N83+P83)/100*S83),2)</f>
        <v>10993.85</v>
      </c>
      <c r="U83" s="705">
        <f t="shared" ref="U83:U146" si="19">H83+J83+L83+N83+P83+R83+T83</f>
        <v>36279.715999999993</v>
      </c>
      <c r="V83" s="704">
        <f t="shared" ref="V83:V146" si="20">ROUND(((H83+J83)*0.25/100*(Q83+S83+100)),2)</f>
        <v>5668.71</v>
      </c>
      <c r="W83" s="817">
        <f t="shared" si="10"/>
        <v>41948.425999999992</v>
      </c>
      <c r="X83" s="706">
        <f t="shared" si="9"/>
        <v>36495.130619999996</v>
      </c>
      <c r="Y83" s="831"/>
      <c r="Z83" s="827" t="s">
        <v>1130</v>
      </c>
      <c r="AA83" s="746">
        <f t="shared" si="11"/>
        <v>20014.5</v>
      </c>
      <c r="AB83" s="810"/>
    </row>
    <row r="84" spans="1:28" s="653" customFormat="1" ht="16.5" customHeight="1" x14ac:dyDescent="0.25">
      <c r="A84" s="1039"/>
      <c r="B84" s="737"/>
      <c r="C84" s="738" t="s">
        <v>1131</v>
      </c>
      <c r="D84" s="739">
        <v>1</v>
      </c>
      <c r="E84" s="740" t="s">
        <v>1056</v>
      </c>
      <c r="F84" s="727" t="s">
        <v>1117</v>
      </c>
      <c r="G84" s="675">
        <v>9360</v>
      </c>
      <c r="H84" s="674">
        <f t="shared" ref="H84:H147" si="21">G84*$H$13</f>
        <v>9762.48</v>
      </c>
      <c r="I84" s="675">
        <v>0.01</v>
      </c>
      <c r="J84" s="675">
        <f t="shared" si="13"/>
        <v>97.62</v>
      </c>
      <c r="K84" s="675">
        <v>0.62</v>
      </c>
      <c r="L84" s="674">
        <f t="shared" si="14"/>
        <v>6113.26</v>
      </c>
      <c r="M84" s="741">
        <v>15</v>
      </c>
      <c r="N84" s="674">
        <f t="shared" si="15"/>
        <v>1479.02</v>
      </c>
      <c r="O84" s="741">
        <v>4</v>
      </c>
      <c r="P84" s="674">
        <f t="shared" si="16"/>
        <v>394.4</v>
      </c>
      <c r="Q84" s="741">
        <v>15</v>
      </c>
      <c r="R84" s="674">
        <f t="shared" si="17"/>
        <v>2677.02</v>
      </c>
      <c r="S84" s="742">
        <v>50</v>
      </c>
      <c r="T84" s="678">
        <f t="shared" si="18"/>
        <v>8923.39</v>
      </c>
      <c r="U84" s="679">
        <f t="shared" si="19"/>
        <v>29447.190000000002</v>
      </c>
      <c r="V84" s="678">
        <f t="shared" si="20"/>
        <v>4067.29</v>
      </c>
      <c r="W84" s="815">
        <f t="shared" si="10"/>
        <v>33514.480000000003</v>
      </c>
      <c r="X84" s="743">
        <f t="shared" si="9"/>
        <v>29157.597600000001</v>
      </c>
      <c r="Y84" s="756"/>
      <c r="Z84" s="670" t="s">
        <v>1132</v>
      </c>
      <c r="AA84" s="750">
        <f t="shared" si="11"/>
        <v>20014.5</v>
      </c>
      <c r="AB84" s="811"/>
    </row>
    <row r="85" spans="1:28" s="653" customFormat="1" ht="16.5" customHeight="1" x14ac:dyDescent="0.25">
      <c r="A85" s="1039"/>
      <c r="B85" s="737"/>
      <c r="C85" s="738" t="s">
        <v>1133</v>
      </c>
      <c r="D85" s="739">
        <v>1</v>
      </c>
      <c r="E85" s="740" t="s">
        <v>1054</v>
      </c>
      <c r="F85" s="727" t="s">
        <v>1117</v>
      </c>
      <c r="G85" s="675">
        <v>6760</v>
      </c>
      <c r="H85" s="674">
        <f t="shared" si="21"/>
        <v>7050.6799999999994</v>
      </c>
      <c r="I85" s="675">
        <v>0.04</v>
      </c>
      <c r="J85" s="675">
        <f t="shared" si="13"/>
        <v>282.02999999999997</v>
      </c>
      <c r="K85" s="675">
        <v>1.71</v>
      </c>
      <c r="L85" s="674">
        <f t="shared" si="14"/>
        <v>12538.93</v>
      </c>
      <c r="M85" s="741">
        <v>15</v>
      </c>
      <c r="N85" s="674">
        <f t="shared" si="15"/>
        <v>1099.9100000000001</v>
      </c>
      <c r="O85" s="741">
        <v>8</v>
      </c>
      <c r="P85" s="674">
        <f t="shared" si="16"/>
        <v>586.62</v>
      </c>
      <c r="Q85" s="741">
        <v>15</v>
      </c>
      <c r="R85" s="674">
        <f t="shared" si="17"/>
        <v>3233.73</v>
      </c>
      <c r="S85" s="742">
        <v>50</v>
      </c>
      <c r="T85" s="678">
        <f t="shared" si="18"/>
        <v>10779.09</v>
      </c>
      <c r="U85" s="679">
        <f t="shared" si="19"/>
        <v>35570.99</v>
      </c>
      <c r="V85" s="678">
        <f t="shared" si="20"/>
        <v>3024.74</v>
      </c>
      <c r="W85" s="815">
        <f t="shared" ref="W85:W108" si="22">U85+V85</f>
        <v>38595.729999999996</v>
      </c>
      <c r="X85" s="743">
        <f t="shared" si="9"/>
        <v>33578.285100000001</v>
      </c>
      <c r="Y85" s="756"/>
      <c r="Z85" s="670" t="s">
        <v>1134</v>
      </c>
      <c r="AA85" s="750">
        <f t="shared" si="11"/>
        <v>20014.5</v>
      </c>
      <c r="AB85" s="811"/>
    </row>
    <row r="86" spans="1:28" s="653" customFormat="1" ht="16.5" customHeight="1" x14ac:dyDescent="0.25">
      <c r="A86" s="1039"/>
      <c r="B86" s="737"/>
      <c r="C86" s="738" t="s">
        <v>1133</v>
      </c>
      <c r="D86" s="739">
        <v>1</v>
      </c>
      <c r="E86" s="740" t="s">
        <v>1054</v>
      </c>
      <c r="F86" s="727" t="s">
        <v>1117</v>
      </c>
      <c r="G86" s="675">
        <v>6760</v>
      </c>
      <c r="H86" s="674">
        <f t="shared" si="21"/>
        <v>7050.6799999999994</v>
      </c>
      <c r="I86" s="675">
        <v>0.04</v>
      </c>
      <c r="J86" s="675">
        <f t="shared" si="13"/>
        <v>282.02999999999997</v>
      </c>
      <c r="K86" s="675">
        <v>1.71</v>
      </c>
      <c r="L86" s="674">
        <f t="shared" si="14"/>
        <v>12538.93</v>
      </c>
      <c r="M86" s="741">
        <v>15</v>
      </c>
      <c r="N86" s="674">
        <f t="shared" si="15"/>
        <v>1099.9100000000001</v>
      </c>
      <c r="O86" s="741">
        <v>8</v>
      </c>
      <c r="P86" s="674">
        <f t="shared" si="16"/>
        <v>586.62</v>
      </c>
      <c r="Q86" s="741">
        <v>15</v>
      </c>
      <c r="R86" s="674">
        <f t="shared" si="17"/>
        <v>3233.73</v>
      </c>
      <c r="S86" s="742">
        <v>50</v>
      </c>
      <c r="T86" s="678">
        <f t="shared" si="18"/>
        <v>10779.09</v>
      </c>
      <c r="U86" s="679">
        <f t="shared" si="19"/>
        <v>35570.99</v>
      </c>
      <c r="V86" s="678">
        <f t="shared" si="20"/>
        <v>3024.74</v>
      </c>
      <c r="W86" s="815">
        <f t="shared" si="22"/>
        <v>38595.729999999996</v>
      </c>
      <c r="X86" s="743">
        <f t="shared" si="9"/>
        <v>33578.285100000001</v>
      </c>
      <c r="Y86" s="756"/>
      <c r="Z86" s="670" t="s">
        <v>1135</v>
      </c>
      <c r="AA86" s="750">
        <f t="shared" si="11"/>
        <v>20014.5</v>
      </c>
      <c r="AB86" s="811"/>
    </row>
    <row r="87" spans="1:28" s="653" customFormat="1" ht="16.5" customHeight="1" x14ac:dyDescent="0.25">
      <c r="A87" s="1039"/>
      <c r="B87" s="737"/>
      <c r="C87" s="738" t="s">
        <v>1133</v>
      </c>
      <c r="D87" s="739">
        <v>1</v>
      </c>
      <c r="E87" s="740" t="s">
        <v>1054</v>
      </c>
      <c r="F87" s="727" t="s">
        <v>1117</v>
      </c>
      <c r="G87" s="675">
        <v>6760</v>
      </c>
      <c r="H87" s="674">
        <f t="shared" si="21"/>
        <v>7050.6799999999994</v>
      </c>
      <c r="I87" s="675">
        <v>0.04</v>
      </c>
      <c r="J87" s="675">
        <f t="shared" si="13"/>
        <v>282.02999999999997</v>
      </c>
      <c r="K87" s="675">
        <v>1.71</v>
      </c>
      <c r="L87" s="674">
        <f t="shared" si="14"/>
        <v>12538.93</v>
      </c>
      <c r="M87" s="741">
        <v>15</v>
      </c>
      <c r="N87" s="674">
        <f t="shared" si="15"/>
        <v>1099.9100000000001</v>
      </c>
      <c r="O87" s="741">
        <v>8</v>
      </c>
      <c r="P87" s="674">
        <f t="shared" si="16"/>
        <v>586.62</v>
      </c>
      <c r="Q87" s="741">
        <v>15</v>
      </c>
      <c r="R87" s="674">
        <f t="shared" si="17"/>
        <v>3233.73</v>
      </c>
      <c r="S87" s="742">
        <v>50</v>
      </c>
      <c r="T87" s="678">
        <f t="shared" si="18"/>
        <v>10779.09</v>
      </c>
      <c r="U87" s="679">
        <f t="shared" si="19"/>
        <v>35570.99</v>
      </c>
      <c r="V87" s="678">
        <f t="shared" si="20"/>
        <v>3024.74</v>
      </c>
      <c r="W87" s="815">
        <f t="shared" si="22"/>
        <v>38595.729999999996</v>
      </c>
      <c r="X87" s="743">
        <f t="shared" si="9"/>
        <v>33578.285100000001</v>
      </c>
      <c r="Y87" s="756"/>
      <c r="Z87" s="670" t="s">
        <v>1136</v>
      </c>
      <c r="AA87" s="750">
        <f t="shared" si="11"/>
        <v>20014.5</v>
      </c>
      <c r="AB87" s="811"/>
    </row>
    <row r="88" spans="1:28" s="653" customFormat="1" ht="16.5" customHeight="1" x14ac:dyDescent="0.25">
      <c r="A88" s="1039"/>
      <c r="B88" s="737"/>
      <c r="C88" s="738" t="s">
        <v>1133</v>
      </c>
      <c r="D88" s="739">
        <v>1</v>
      </c>
      <c r="E88" s="740" t="s">
        <v>1054</v>
      </c>
      <c r="F88" s="727" t="s">
        <v>1117</v>
      </c>
      <c r="G88" s="675">
        <v>6760</v>
      </c>
      <c r="H88" s="674">
        <f t="shared" si="21"/>
        <v>7050.6799999999994</v>
      </c>
      <c r="I88" s="675">
        <v>0.04</v>
      </c>
      <c r="J88" s="675">
        <f t="shared" si="13"/>
        <v>282.02999999999997</v>
      </c>
      <c r="K88" s="675">
        <v>1.71</v>
      </c>
      <c r="L88" s="674">
        <f t="shared" si="14"/>
        <v>12538.93</v>
      </c>
      <c r="M88" s="741">
        <v>15</v>
      </c>
      <c r="N88" s="674">
        <f t="shared" si="15"/>
        <v>1099.9100000000001</v>
      </c>
      <c r="O88" s="741">
        <v>8</v>
      </c>
      <c r="P88" s="674">
        <f t="shared" si="16"/>
        <v>586.62</v>
      </c>
      <c r="Q88" s="741">
        <v>15</v>
      </c>
      <c r="R88" s="674">
        <f t="shared" si="17"/>
        <v>3233.73</v>
      </c>
      <c r="S88" s="742">
        <v>50</v>
      </c>
      <c r="T88" s="678">
        <f t="shared" si="18"/>
        <v>10779.09</v>
      </c>
      <c r="U88" s="679">
        <f t="shared" si="19"/>
        <v>35570.99</v>
      </c>
      <c r="V88" s="678">
        <f t="shared" si="20"/>
        <v>3024.74</v>
      </c>
      <c r="W88" s="815">
        <f t="shared" si="22"/>
        <v>38595.729999999996</v>
      </c>
      <c r="X88" s="743">
        <f>-W88*13/100+U88+V88</f>
        <v>33578.285100000001</v>
      </c>
      <c r="Y88" s="756"/>
      <c r="Z88" s="670" t="s">
        <v>1137</v>
      </c>
      <c r="AA88" s="750">
        <f t="shared" si="11"/>
        <v>20014.5</v>
      </c>
      <c r="AB88" s="811"/>
    </row>
    <row r="89" spans="1:28" s="653" customFormat="1" ht="16.5" customHeight="1" x14ac:dyDescent="0.25">
      <c r="A89" s="1039"/>
      <c r="B89" s="737"/>
      <c r="C89" s="738" t="s">
        <v>1133</v>
      </c>
      <c r="D89" s="739">
        <v>1</v>
      </c>
      <c r="E89" s="740" t="s">
        <v>1054</v>
      </c>
      <c r="F89" s="727" t="s">
        <v>1117</v>
      </c>
      <c r="G89" s="675">
        <v>6760</v>
      </c>
      <c r="H89" s="674">
        <f t="shared" si="21"/>
        <v>7050.6799999999994</v>
      </c>
      <c r="I89" s="675">
        <v>0.04</v>
      </c>
      <c r="J89" s="675">
        <f t="shared" si="13"/>
        <v>282.02999999999997</v>
      </c>
      <c r="K89" s="675">
        <v>1.71</v>
      </c>
      <c r="L89" s="674">
        <f t="shared" si="14"/>
        <v>12538.93</v>
      </c>
      <c r="M89" s="741">
        <v>15</v>
      </c>
      <c r="N89" s="674">
        <f t="shared" si="15"/>
        <v>1099.9100000000001</v>
      </c>
      <c r="O89" s="741">
        <v>8</v>
      </c>
      <c r="P89" s="674">
        <f t="shared" si="16"/>
        <v>586.62</v>
      </c>
      <c r="Q89" s="741">
        <v>15</v>
      </c>
      <c r="R89" s="674">
        <f t="shared" si="17"/>
        <v>3233.73</v>
      </c>
      <c r="S89" s="742">
        <v>50</v>
      </c>
      <c r="T89" s="678">
        <f t="shared" si="18"/>
        <v>10779.09</v>
      </c>
      <c r="U89" s="679">
        <f t="shared" si="19"/>
        <v>35570.99</v>
      </c>
      <c r="V89" s="678">
        <f t="shared" si="20"/>
        <v>3024.74</v>
      </c>
      <c r="W89" s="815">
        <f t="shared" si="22"/>
        <v>38595.729999999996</v>
      </c>
      <c r="X89" s="743">
        <f>-W89*13/100+U89+V89</f>
        <v>33578.285100000001</v>
      </c>
      <c r="Y89" s="756"/>
      <c r="Z89" s="670"/>
      <c r="AA89" s="750">
        <f t="shared" ref="AA89:AA152" si="23">$AB$13*$AB$15</f>
        <v>20014.5</v>
      </c>
      <c r="AB89" s="811"/>
    </row>
    <row r="90" spans="1:28" s="653" customFormat="1" ht="16.5" customHeight="1" x14ac:dyDescent="0.25">
      <c r="A90" s="1039"/>
      <c r="B90" s="737"/>
      <c r="C90" s="738" t="s">
        <v>1120</v>
      </c>
      <c r="D90" s="739">
        <v>1</v>
      </c>
      <c r="E90" s="740" t="s">
        <v>1061</v>
      </c>
      <c r="F90" s="727" t="s">
        <v>1117</v>
      </c>
      <c r="G90" s="675">
        <v>6136</v>
      </c>
      <c r="H90" s="674">
        <f t="shared" si="21"/>
        <v>6399.848</v>
      </c>
      <c r="I90" s="675">
        <v>0.03</v>
      </c>
      <c r="J90" s="675">
        <f t="shared" si="13"/>
        <v>192</v>
      </c>
      <c r="K90" s="675">
        <v>1.07</v>
      </c>
      <c r="L90" s="674">
        <f t="shared" si="14"/>
        <v>7053.28</v>
      </c>
      <c r="M90" s="741">
        <v>15</v>
      </c>
      <c r="N90" s="674">
        <f t="shared" si="15"/>
        <v>988.78</v>
      </c>
      <c r="O90" s="741">
        <v>8</v>
      </c>
      <c r="P90" s="674">
        <f t="shared" si="16"/>
        <v>527.35</v>
      </c>
      <c r="Q90" s="741">
        <v>15</v>
      </c>
      <c r="R90" s="674">
        <f t="shared" si="17"/>
        <v>2274.19</v>
      </c>
      <c r="S90" s="742">
        <v>50</v>
      </c>
      <c r="T90" s="678">
        <f t="shared" si="18"/>
        <v>7580.63</v>
      </c>
      <c r="U90" s="679">
        <f t="shared" si="19"/>
        <v>25016.078000000001</v>
      </c>
      <c r="V90" s="678">
        <f t="shared" si="20"/>
        <v>2719.14</v>
      </c>
      <c r="W90" s="815">
        <f t="shared" si="22"/>
        <v>27735.218000000001</v>
      </c>
      <c r="X90" s="743">
        <f t="shared" si="9"/>
        <v>24129.639660000001</v>
      </c>
      <c r="Y90" s="756"/>
      <c r="Z90" s="670" t="s">
        <v>1138</v>
      </c>
      <c r="AA90" s="750">
        <f t="shared" si="23"/>
        <v>20014.5</v>
      </c>
      <c r="AB90" s="811"/>
    </row>
    <row r="91" spans="1:28" s="653" customFormat="1" ht="16.5" customHeight="1" x14ac:dyDescent="0.25">
      <c r="A91" s="1039"/>
      <c r="B91" s="737"/>
      <c r="C91" s="738" t="s">
        <v>1139</v>
      </c>
      <c r="D91" s="739">
        <v>1</v>
      </c>
      <c r="E91" s="740" t="s">
        <v>1067</v>
      </c>
      <c r="F91" s="727" t="s">
        <v>1117</v>
      </c>
      <c r="G91" s="675">
        <v>5200</v>
      </c>
      <c r="H91" s="674">
        <f t="shared" si="21"/>
        <v>5423.5999999999995</v>
      </c>
      <c r="I91" s="675">
        <v>0.01</v>
      </c>
      <c r="J91" s="675">
        <f t="shared" si="13"/>
        <v>54.24</v>
      </c>
      <c r="K91" s="675">
        <v>1.39</v>
      </c>
      <c r="L91" s="674">
        <f t="shared" si="14"/>
        <v>7614.2</v>
      </c>
      <c r="M91" s="741">
        <v>15</v>
      </c>
      <c r="N91" s="674">
        <f t="shared" si="15"/>
        <v>821.68</v>
      </c>
      <c r="O91" s="741">
        <v>8</v>
      </c>
      <c r="P91" s="674">
        <f t="shared" si="16"/>
        <v>438.23</v>
      </c>
      <c r="Q91" s="741">
        <v>15</v>
      </c>
      <c r="R91" s="674">
        <f t="shared" si="17"/>
        <v>2152.79</v>
      </c>
      <c r="S91" s="742">
        <v>50</v>
      </c>
      <c r="T91" s="678">
        <f t="shared" si="18"/>
        <v>7175.98</v>
      </c>
      <c r="U91" s="679">
        <f t="shared" si="19"/>
        <v>23680.719999999998</v>
      </c>
      <c r="V91" s="678">
        <f t="shared" si="20"/>
        <v>2259.61</v>
      </c>
      <c r="W91" s="815">
        <f t="shared" si="22"/>
        <v>25940.329999999998</v>
      </c>
      <c r="X91" s="743">
        <f t="shared" si="9"/>
        <v>22568.087099999997</v>
      </c>
      <c r="Y91" s="756"/>
      <c r="Z91" s="670" t="s">
        <v>1140</v>
      </c>
      <c r="AA91" s="750">
        <f t="shared" si="23"/>
        <v>20014.5</v>
      </c>
      <c r="AB91" s="811"/>
    </row>
    <row r="92" spans="1:28" s="653" customFormat="1" ht="16.5" customHeight="1" x14ac:dyDescent="0.25">
      <c r="A92" s="1039"/>
      <c r="B92" s="737"/>
      <c r="C92" s="738" t="s">
        <v>1139</v>
      </c>
      <c r="D92" s="739">
        <v>1</v>
      </c>
      <c r="E92" s="740" t="s">
        <v>1067</v>
      </c>
      <c r="F92" s="727" t="s">
        <v>1117</v>
      </c>
      <c r="G92" s="675">
        <v>5200</v>
      </c>
      <c r="H92" s="674">
        <f t="shared" si="21"/>
        <v>5423.5999999999995</v>
      </c>
      <c r="I92" s="675">
        <v>0.01</v>
      </c>
      <c r="J92" s="675">
        <f t="shared" si="13"/>
        <v>54.24</v>
      </c>
      <c r="K92" s="675">
        <v>1.0900000000000001</v>
      </c>
      <c r="L92" s="674">
        <f t="shared" si="14"/>
        <v>5970.85</v>
      </c>
      <c r="M92" s="741">
        <v>15</v>
      </c>
      <c r="N92" s="674">
        <f t="shared" si="15"/>
        <v>821.68</v>
      </c>
      <c r="O92" s="741">
        <v>8</v>
      </c>
      <c r="P92" s="674">
        <f t="shared" si="16"/>
        <v>438.23</v>
      </c>
      <c r="Q92" s="741">
        <v>15</v>
      </c>
      <c r="R92" s="674">
        <f t="shared" si="17"/>
        <v>1906.29</v>
      </c>
      <c r="S92" s="742">
        <v>50</v>
      </c>
      <c r="T92" s="678">
        <f t="shared" si="18"/>
        <v>6354.3</v>
      </c>
      <c r="U92" s="679">
        <f t="shared" si="19"/>
        <v>20969.189999999999</v>
      </c>
      <c r="V92" s="678">
        <f t="shared" si="20"/>
        <v>2259.61</v>
      </c>
      <c r="W92" s="815">
        <f t="shared" si="22"/>
        <v>23228.799999999999</v>
      </c>
      <c r="X92" s="743">
        <f t="shared" si="9"/>
        <v>20209.056</v>
      </c>
      <c r="Y92" s="750"/>
      <c r="Z92" s="670" t="s">
        <v>1141</v>
      </c>
      <c r="AA92" s="750">
        <f t="shared" si="23"/>
        <v>20014.5</v>
      </c>
      <c r="AB92" s="811"/>
    </row>
    <row r="93" spans="1:28" s="653" customFormat="1" ht="16.5" customHeight="1" x14ac:dyDescent="0.25">
      <c r="A93" s="1039"/>
      <c r="B93" s="737"/>
      <c r="C93" s="738" t="s">
        <v>1142</v>
      </c>
      <c r="D93" s="739">
        <v>1</v>
      </c>
      <c r="E93" s="740"/>
      <c r="F93" s="727" t="s">
        <v>1032</v>
      </c>
      <c r="G93" s="675">
        <v>5200</v>
      </c>
      <c r="H93" s="674">
        <f t="shared" si="21"/>
        <v>5423.5999999999995</v>
      </c>
      <c r="I93" s="675">
        <v>0.04</v>
      </c>
      <c r="J93" s="675">
        <f t="shared" si="13"/>
        <v>216.94</v>
      </c>
      <c r="K93" s="675">
        <v>1.48</v>
      </c>
      <c r="L93" s="674">
        <f t="shared" si="14"/>
        <v>8348</v>
      </c>
      <c r="M93" s="741">
        <v>15</v>
      </c>
      <c r="N93" s="674">
        <f t="shared" si="15"/>
        <v>846.08</v>
      </c>
      <c r="O93" s="741"/>
      <c r="P93" s="674">
        <f t="shared" si="16"/>
        <v>0</v>
      </c>
      <c r="Q93" s="741">
        <v>15</v>
      </c>
      <c r="R93" s="674">
        <f t="shared" si="17"/>
        <v>2225.19</v>
      </c>
      <c r="S93" s="742">
        <v>50</v>
      </c>
      <c r="T93" s="678">
        <f t="shared" si="18"/>
        <v>7417.31</v>
      </c>
      <c r="U93" s="679">
        <f t="shared" si="19"/>
        <v>24477.119999999999</v>
      </c>
      <c r="V93" s="678">
        <f t="shared" si="20"/>
        <v>2326.7199999999998</v>
      </c>
      <c r="W93" s="815">
        <f t="shared" si="22"/>
        <v>26803.84</v>
      </c>
      <c r="X93" s="743">
        <f t="shared" si="9"/>
        <v>23319.340800000002</v>
      </c>
      <c r="Y93" s="756"/>
      <c r="Z93" s="670" t="s">
        <v>1143</v>
      </c>
      <c r="AA93" s="750">
        <f t="shared" si="23"/>
        <v>20014.5</v>
      </c>
      <c r="AB93" s="811"/>
    </row>
    <row r="94" spans="1:28" s="653" customFormat="1" ht="16.5" customHeight="1" x14ac:dyDescent="0.25">
      <c r="A94" s="1039"/>
      <c r="B94" s="737"/>
      <c r="C94" s="738" t="s">
        <v>1045</v>
      </c>
      <c r="D94" s="739">
        <v>1</v>
      </c>
      <c r="E94" s="740" t="s">
        <v>1040</v>
      </c>
      <c r="F94" s="727" t="s">
        <v>1032</v>
      </c>
      <c r="G94" s="675">
        <v>4056</v>
      </c>
      <c r="H94" s="674">
        <f t="shared" si="21"/>
        <v>4230.4079999999994</v>
      </c>
      <c r="I94" s="675">
        <v>0.01</v>
      </c>
      <c r="J94" s="675">
        <f t="shared" si="13"/>
        <v>42.3</v>
      </c>
      <c r="K94" s="675">
        <v>1.75</v>
      </c>
      <c r="L94" s="674">
        <f t="shared" si="14"/>
        <v>7477.24</v>
      </c>
      <c r="M94" s="741">
        <v>15</v>
      </c>
      <c r="N94" s="674">
        <f t="shared" si="15"/>
        <v>640.91</v>
      </c>
      <c r="O94" s="741">
        <v>8</v>
      </c>
      <c r="P94" s="674">
        <f t="shared" si="16"/>
        <v>341.82</v>
      </c>
      <c r="Q94" s="741">
        <v>15</v>
      </c>
      <c r="R94" s="674">
        <f t="shared" si="17"/>
        <v>1909.9</v>
      </c>
      <c r="S94" s="742">
        <v>50</v>
      </c>
      <c r="T94" s="678">
        <f t="shared" si="18"/>
        <v>6366.34</v>
      </c>
      <c r="U94" s="679">
        <f t="shared" si="19"/>
        <v>21008.917999999998</v>
      </c>
      <c r="V94" s="678">
        <f t="shared" si="20"/>
        <v>1762.49</v>
      </c>
      <c r="W94" s="815">
        <f>U94+V94</f>
        <v>22771.407999999999</v>
      </c>
      <c r="X94" s="743">
        <f t="shared" si="9"/>
        <v>19811.124959999997</v>
      </c>
      <c r="Y94" s="750"/>
      <c r="Z94" s="670" t="s">
        <v>1144</v>
      </c>
      <c r="AA94" s="750">
        <f t="shared" si="23"/>
        <v>20014.5</v>
      </c>
      <c r="AB94" s="811"/>
    </row>
    <row r="95" spans="1:28" s="653" customFormat="1" ht="16.5" customHeight="1" x14ac:dyDescent="0.25">
      <c r="A95" s="1039"/>
      <c r="B95" s="777"/>
      <c r="C95" s="738" t="s">
        <v>1133</v>
      </c>
      <c r="D95" s="739">
        <v>1</v>
      </c>
      <c r="E95" s="740" t="s">
        <v>1054</v>
      </c>
      <c r="F95" s="727" t="s">
        <v>1117</v>
      </c>
      <c r="G95" s="675">
        <v>6760</v>
      </c>
      <c r="H95" s="674">
        <f t="shared" si="21"/>
        <v>7050.6799999999994</v>
      </c>
      <c r="I95" s="675">
        <v>0.04</v>
      </c>
      <c r="J95" s="675">
        <f t="shared" si="13"/>
        <v>282.02999999999997</v>
      </c>
      <c r="K95" s="675">
        <v>2</v>
      </c>
      <c r="L95" s="674">
        <f t="shared" si="14"/>
        <v>14665.42</v>
      </c>
      <c r="M95" s="741">
        <v>15</v>
      </c>
      <c r="N95" s="674">
        <f t="shared" si="15"/>
        <v>1099.9100000000001</v>
      </c>
      <c r="O95" s="741">
        <v>8</v>
      </c>
      <c r="P95" s="674">
        <f t="shared" si="16"/>
        <v>586.62</v>
      </c>
      <c r="Q95" s="741">
        <v>15</v>
      </c>
      <c r="R95" s="674">
        <f t="shared" si="17"/>
        <v>3552.7</v>
      </c>
      <c r="S95" s="742">
        <v>50</v>
      </c>
      <c r="T95" s="678">
        <f t="shared" si="18"/>
        <v>11842.33</v>
      </c>
      <c r="U95" s="679">
        <f t="shared" si="19"/>
        <v>39079.689999999995</v>
      </c>
      <c r="V95" s="678">
        <f t="shared" si="20"/>
        <v>3024.74</v>
      </c>
      <c r="W95" s="815">
        <f t="shared" si="22"/>
        <v>42104.429999999993</v>
      </c>
      <c r="X95" s="743">
        <f t="shared" si="9"/>
        <v>36630.854099999997</v>
      </c>
      <c r="Y95" s="756"/>
      <c r="Z95" s="670" t="s">
        <v>1145</v>
      </c>
      <c r="AA95" s="750">
        <f t="shared" si="23"/>
        <v>20014.5</v>
      </c>
      <c r="AB95" s="811"/>
    </row>
    <row r="96" spans="1:28" s="653" customFormat="1" ht="16.5" customHeight="1" x14ac:dyDescent="0.25">
      <c r="A96" s="1039"/>
      <c r="B96" s="737"/>
      <c r="C96" s="738" t="s">
        <v>1133</v>
      </c>
      <c r="D96" s="739">
        <v>1</v>
      </c>
      <c r="E96" s="740" t="s">
        <v>1054</v>
      </c>
      <c r="F96" s="727" t="s">
        <v>1117</v>
      </c>
      <c r="G96" s="675">
        <v>6760</v>
      </c>
      <c r="H96" s="674">
        <f t="shared" si="21"/>
        <v>7050.6799999999994</v>
      </c>
      <c r="I96" s="675">
        <v>0.04</v>
      </c>
      <c r="J96" s="675">
        <f t="shared" si="13"/>
        <v>282.02999999999997</v>
      </c>
      <c r="K96" s="675">
        <v>1.71</v>
      </c>
      <c r="L96" s="674">
        <f t="shared" si="14"/>
        <v>12538.93</v>
      </c>
      <c r="M96" s="741">
        <v>15</v>
      </c>
      <c r="N96" s="674">
        <f t="shared" si="15"/>
        <v>1099.9100000000001</v>
      </c>
      <c r="O96" s="741">
        <v>8</v>
      </c>
      <c r="P96" s="674">
        <f t="shared" si="16"/>
        <v>586.62</v>
      </c>
      <c r="Q96" s="741">
        <v>15</v>
      </c>
      <c r="R96" s="674">
        <f t="shared" si="17"/>
        <v>3233.73</v>
      </c>
      <c r="S96" s="742">
        <v>50</v>
      </c>
      <c r="T96" s="678">
        <f t="shared" si="18"/>
        <v>10779.09</v>
      </c>
      <c r="U96" s="679">
        <f t="shared" si="19"/>
        <v>35570.99</v>
      </c>
      <c r="V96" s="678">
        <f t="shared" si="20"/>
        <v>3024.74</v>
      </c>
      <c r="W96" s="815">
        <f t="shared" si="22"/>
        <v>38595.729999999996</v>
      </c>
      <c r="X96" s="743">
        <f t="shared" si="9"/>
        <v>33578.285100000001</v>
      </c>
      <c r="Y96" s="756"/>
      <c r="Z96" s="670" t="s">
        <v>1146</v>
      </c>
      <c r="AA96" s="750">
        <f t="shared" si="23"/>
        <v>20014.5</v>
      </c>
      <c r="AB96" s="811"/>
    </row>
    <row r="97" spans="1:28" s="653" customFormat="1" ht="16.5" customHeight="1" x14ac:dyDescent="0.25">
      <c r="A97" s="1039"/>
      <c r="B97" s="737"/>
      <c r="C97" s="738" t="s">
        <v>1133</v>
      </c>
      <c r="D97" s="739">
        <v>1</v>
      </c>
      <c r="E97" s="740" t="s">
        <v>1054</v>
      </c>
      <c r="F97" s="727" t="s">
        <v>1117</v>
      </c>
      <c r="G97" s="675">
        <v>6760</v>
      </c>
      <c r="H97" s="674">
        <f t="shared" si="21"/>
        <v>7050.6799999999994</v>
      </c>
      <c r="I97" s="675">
        <v>0.04</v>
      </c>
      <c r="J97" s="675">
        <f t="shared" si="13"/>
        <v>282.02999999999997</v>
      </c>
      <c r="K97" s="675">
        <v>0.77</v>
      </c>
      <c r="L97" s="674">
        <f t="shared" si="14"/>
        <v>5646.19</v>
      </c>
      <c r="M97" s="741">
        <v>15</v>
      </c>
      <c r="N97" s="674">
        <f t="shared" si="15"/>
        <v>1099.9100000000001</v>
      </c>
      <c r="O97" s="741">
        <v>8</v>
      </c>
      <c r="P97" s="674">
        <f t="shared" si="16"/>
        <v>586.62</v>
      </c>
      <c r="Q97" s="741">
        <v>15</v>
      </c>
      <c r="R97" s="674">
        <f t="shared" si="17"/>
        <v>2199.81</v>
      </c>
      <c r="S97" s="742">
        <v>50</v>
      </c>
      <c r="T97" s="678">
        <f t="shared" si="18"/>
        <v>7332.72</v>
      </c>
      <c r="U97" s="679">
        <f t="shared" si="19"/>
        <v>24197.96</v>
      </c>
      <c r="V97" s="678">
        <f t="shared" si="20"/>
        <v>3024.74</v>
      </c>
      <c r="W97" s="815">
        <f t="shared" si="22"/>
        <v>27222.699999999997</v>
      </c>
      <c r="X97" s="743">
        <f t="shared" si="9"/>
        <v>23683.748999999996</v>
      </c>
      <c r="Y97" s="756"/>
      <c r="Z97" s="670" t="s">
        <v>1147</v>
      </c>
      <c r="AA97" s="750">
        <f t="shared" si="23"/>
        <v>20014.5</v>
      </c>
      <c r="AB97" s="811"/>
    </row>
    <row r="98" spans="1:28" s="653" customFormat="1" ht="16.5" customHeight="1" x14ac:dyDescent="0.25">
      <c r="A98" s="1039"/>
      <c r="B98" s="737"/>
      <c r="C98" s="738" t="s">
        <v>1133</v>
      </c>
      <c r="D98" s="739">
        <v>1</v>
      </c>
      <c r="E98" s="740" t="s">
        <v>1054</v>
      </c>
      <c r="F98" s="727" t="s">
        <v>1117</v>
      </c>
      <c r="G98" s="675">
        <v>6760</v>
      </c>
      <c r="H98" s="674">
        <f t="shared" si="21"/>
        <v>7050.6799999999994</v>
      </c>
      <c r="I98" s="675">
        <v>0.04</v>
      </c>
      <c r="J98" s="675">
        <f t="shared" si="13"/>
        <v>282.02999999999997</v>
      </c>
      <c r="K98" s="675">
        <v>0.64</v>
      </c>
      <c r="L98" s="674">
        <f t="shared" si="14"/>
        <v>4692.93</v>
      </c>
      <c r="M98" s="741">
        <v>15</v>
      </c>
      <c r="N98" s="674">
        <f t="shared" si="15"/>
        <v>1099.9100000000001</v>
      </c>
      <c r="O98" s="741">
        <v>8</v>
      </c>
      <c r="P98" s="674">
        <f t="shared" si="16"/>
        <v>586.62</v>
      </c>
      <c r="Q98" s="741">
        <v>15</v>
      </c>
      <c r="R98" s="674">
        <f t="shared" si="17"/>
        <v>2056.83</v>
      </c>
      <c r="S98" s="742">
        <v>50</v>
      </c>
      <c r="T98" s="678">
        <f t="shared" si="18"/>
        <v>6856.09</v>
      </c>
      <c r="U98" s="679">
        <f t="shared" si="19"/>
        <v>22625.09</v>
      </c>
      <c r="V98" s="678">
        <f t="shared" si="20"/>
        <v>3024.74</v>
      </c>
      <c r="W98" s="815">
        <f t="shared" si="22"/>
        <v>25649.83</v>
      </c>
      <c r="X98" s="743">
        <f t="shared" si="9"/>
        <v>22315.352099999996</v>
      </c>
      <c r="Y98" s="756"/>
      <c r="Z98" s="670" t="s">
        <v>1148</v>
      </c>
      <c r="AA98" s="750">
        <f t="shared" si="23"/>
        <v>20014.5</v>
      </c>
      <c r="AB98" s="811"/>
    </row>
    <row r="99" spans="1:28" s="653" customFormat="1" ht="16.5" customHeight="1" x14ac:dyDescent="0.25">
      <c r="A99" s="1039"/>
      <c r="B99" s="737"/>
      <c r="C99" s="738" t="s">
        <v>1139</v>
      </c>
      <c r="D99" s="739">
        <v>1</v>
      </c>
      <c r="E99" s="740" t="s">
        <v>1067</v>
      </c>
      <c r="F99" s="727" t="s">
        <v>1117</v>
      </c>
      <c r="G99" s="675">
        <v>5200</v>
      </c>
      <c r="H99" s="674">
        <f t="shared" si="21"/>
        <v>5423.5999999999995</v>
      </c>
      <c r="I99" s="675">
        <v>0.01</v>
      </c>
      <c r="J99" s="675">
        <f t="shared" si="13"/>
        <v>54.24</v>
      </c>
      <c r="K99" s="675">
        <v>1.58</v>
      </c>
      <c r="L99" s="674">
        <f t="shared" si="14"/>
        <v>8654.99</v>
      </c>
      <c r="M99" s="741">
        <v>15</v>
      </c>
      <c r="N99" s="674">
        <f t="shared" si="15"/>
        <v>821.68</v>
      </c>
      <c r="O99" s="741">
        <v>8</v>
      </c>
      <c r="P99" s="674">
        <f t="shared" si="16"/>
        <v>438.23</v>
      </c>
      <c r="Q99" s="741">
        <v>15</v>
      </c>
      <c r="R99" s="674">
        <f t="shared" si="17"/>
        <v>2308.91</v>
      </c>
      <c r="S99" s="742">
        <v>50</v>
      </c>
      <c r="T99" s="678">
        <f t="shared" si="18"/>
        <v>7696.37</v>
      </c>
      <c r="U99" s="679">
        <f t="shared" si="19"/>
        <v>25398.019999999997</v>
      </c>
      <c r="V99" s="678">
        <f t="shared" si="20"/>
        <v>2259.61</v>
      </c>
      <c r="W99" s="815">
        <f t="shared" si="22"/>
        <v>27657.629999999997</v>
      </c>
      <c r="X99" s="743">
        <f t="shared" si="9"/>
        <v>24062.138099999996</v>
      </c>
      <c r="Y99" s="756"/>
      <c r="Z99" s="670"/>
      <c r="AA99" s="750">
        <f t="shared" si="23"/>
        <v>20014.5</v>
      </c>
      <c r="AB99" s="811"/>
    </row>
    <row r="100" spans="1:28" s="653" customFormat="1" ht="16.5" customHeight="1" x14ac:dyDescent="0.25">
      <c r="A100" s="1039"/>
      <c r="B100" s="737"/>
      <c r="C100" s="738" t="s">
        <v>1120</v>
      </c>
      <c r="D100" s="739">
        <v>1</v>
      </c>
      <c r="E100" s="740" t="s">
        <v>1061</v>
      </c>
      <c r="F100" s="727" t="s">
        <v>1117</v>
      </c>
      <c r="G100" s="675">
        <v>6136</v>
      </c>
      <c r="H100" s="674">
        <f t="shared" si="21"/>
        <v>6399.848</v>
      </c>
      <c r="I100" s="675">
        <v>0.03</v>
      </c>
      <c r="J100" s="675">
        <f t="shared" si="13"/>
        <v>192</v>
      </c>
      <c r="K100" s="675">
        <v>0.82</v>
      </c>
      <c r="L100" s="674">
        <f t="shared" si="14"/>
        <v>5405.32</v>
      </c>
      <c r="M100" s="741">
        <v>15</v>
      </c>
      <c r="N100" s="674">
        <f t="shared" si="15"/>
        <v>988.78</v>
      </c>
      <c r="O100" s="741">
        <v>8</v>
      </c>
      <c r="P100" s="674">
        <f t="shared" si="16"/>
        <v>527.35</v>
      </c>
      <c r="Q100" s="741">
        <v>15</v>
      </c>
      <c r="R100" s="674">
        <f t="shared" si="17"/>
        <v>2026.99</v>
      </c>
      <c r="S100" s="742">
        <v>50</v>
      </c>
      <c r="T100" s="678">
        <f t="shared" si="18"/>
        <v>6756.65</v>
      </c>
      <c r="U100" s="679">
        <f t="shared" si="19"/>
        <v>22296.938000000002</v>
      </c>
      <c r="V100" s="678">
        <f t="shared" si="20"/>
        <v>2719.14</v>
      </c>
      <c r="W100" s="815">
        <f t="shared" si="22"/>
        <v>25016.078000000001</v>
      </c>
      <c r="X100" s="743">
        <f t="shared" si="9"/>
        <v>21763.987860000001</v>
      </c>
      <c r="Y100" s="756"/>
      <c r="Z100" s="670" t="s">
        <v>1149</v>
      </c>
      <c r="AA100" s="750">
        <f t="shared" si="23"/>
        <v>20014.5</v>
      </c>
      <c r="AB100" s="811"/>
    </row>
    <row r="101" spans="1:28" s="653" customFormat="1" ht="16.5" customHeight="1" x14ac:dyDescent="0.25">
      <c r="A101" s="1039"/>
      <c r="B101" s="737"/>
      <c r="C101" s="738" t="s">
        <v>1120</v>
      </c>
      <c r="D101" s="739">
        <v>1</v>
      </c>
      <c r="E101" s="740" t="s">
        <v>1061</v>
      </c>
      <c r="F101" s="727" t="s">
        <v>1117</v>
      </c>
      <c r="G101" s="675">
        <v>6136</v>
      </c>
      <c r="H101" s="674">
        <f t="shared" si="21"/>
        <v>6399.848</v>
      </c>
      <c r="I101" s="675">
        <v>0.03</v>
      </c>
      <c r="J101" s="675">
        <f t="shared" si="13"/>
        <v>192</v>
      </c>
      <c r="K101" s="675">
        <v>0.83</v>
      </c>
      <c r="L101" s="674">
        <f t="shared" si="14"/>
        <v>5471.23</v>
      </c>
      <c r="M101" s="741">
        <v>15</v>
      </c>
      <c r="N101" s="674">
        <f t="shared" si="15"/>
        <v>988.78</v>
      </c>
      <c r="O101" s="741">
        <v>8</v>
      </c>
      <c r="P101" s="674">
        <f t="shared" si="16"/>
        <v>527.35</v>
      </c>
      <c r="Q101" s="741">
        <v>15</v>
      </c>
      <c r="R101" s="674">
        <f t="shared" si="17"/>
        <v>2036.88</v>
      </c>
      <c r="S101" s="742">
        <v>50</v>
      </c>
      <c r="T101" s="678">
        <f t="shared" si="18"/>
        <v>6789.6</v>
      </c>
      <c r="U101" s="679">
        <f t="shared" si="19"/>
        <v>22405.688000000002</v>
      </c>
      <c r="V101" s="678">
        <f t="shared" si="20"/>
        <v>2719.14</v>
      </c>
      <c r="W101" s="815">
        <f t="shared" si="22"/>
        <v>25124.828000000001</v>
      </c>
      <c r="X101" s="743">
        <f t="shared" si="9"/>
        <v>21858.60036</v>
      </c>
      <c r="Y101" s="756"/>
      <c r="Z101" s="670" t="s">
        <v>1150</v>
      </c>
      <c r="AA101" s="750">
        <f t="shared" si="23"/>
        <v>20014.5</v>
      </c>
      <c r="AB101" s="811"/>
    </row>
    <row r="102" spans="1:28" s="653" customFormat="1" ht="16.5" customHeight="1" x14ac:dyDescent="0.25">
      <c r="A102" s="1039"/>
      <c r="B102" s="737"/>
      <c r="C102" s="738" t="s">
        <v>1120</v>
      </c>
      <c r="D102" s="739">
        <v>1</v>
      </c>
      <c r="E102" s="740" t="s">
        <v>1061</v>
      </c>
      <c r="F102" s="727" t="s">
        <v>1117</v>
      </c>
      <c r="G102" s="675">
        <v>6136</v>
      </c>
      <c r="H102" s="674">
        <f t="shared" si="21"/>
        <v>6399.848</v>
      </c>
      <c r="I102" s="675">
        <v>0.03</v>
      </c>
      <c r="J102" s="675">
        <f t="shared" si="13"/>
        <v>192</v>
      </c>
      <c r="K102" s="675">
        <v>1.07</v>
      </c>
      <c r="L102" s="674">
        <f t="shared" si="14"/>
        <v>7053.28</v>
      </c>
      <c r="M102" s="741">
        <v>15</v>
      </c>
      <c r="N102" s="674">
        <f t="shared" si="15"/>
        <v>988.78</v>
      </c>
      <c r="O102" s="741">
        <v>8</v>
      </c>
      <c r="P102" s="674">
        <f t="shared" si="16"/>
        <v>527.35</v>
      </c>
      <c r="Q102" s="741">
        <v>15</v>
      </c>
      <c r="R102" s="674">
        <f t="shared" si="17"/>
        <v>2274.19</v>
      </c>
      <c r="S102" s="742">
        <v>50</v>
      </c>
      <c r="T102" s="678">
        <f t="shared" si="18"/>
        <v>7580.63</v>
      </c>
      <c r="U102" s="679">
        <f t="shared" si="19"/>
        <v>25016.078000000001</v>
      </c>
      <c r="V102" s="678">
        <f t="shared" si="20"/>
        <v>2719.14</v>
      </c>
      <c r="W102" s="815">
        <f t="shared" si="22"/>
        <v>27735.218000000001</v>
      </c>
      <c r="X102" s="743">
        <f t="shared" ref="X102:X165" si="24">-W102*13/100+U102+V102</f>
        <v>24129.639660000001</v>
      </c>
      <c r="Y102" s="756"/>
      <c r="Z102" s="670"/>
      <c r="AA102" s="750">
        <f t="shared" si="23"/>
        <v>20014.5</v>
      </c>
      <c r="AB102" s="811"/>
    </row>
    <row r="103" spans="1:28" s="653" customFormat="1" ht="16.5" customHeight="1" x14ac:dyDescent="0.25">
      <c r="A103" s="1039"/>
      <c r="B103" s="737"/>
      <c r="C103" s="738" t="s">
        <v>1120</v>
      </c>
      <c r="D103" s="739">
        <v>1</v>
      </c>
      <c r="E103" s="740" t="s">
        <v>1061</v>
      </c>
      <c r="F103" s="727" t="s">
        <v>1117</v>
      </c>
      <c r="G103" s="675">
        <v>6136</v>
      </c>
      <c r="H103" s="674">
        <f t="shared" si="21"/>
        <v>6399.848</v>
      </c>
      <c r="I103" s="675">
        <v>0.03</v>
      </c>
      <c r="J103" s="675">
        <f t="shared" si="13"/>
        <v>192</v>
      </c>
      <c r="K103" s="675">
        <v>0.82</v>
      </c>
      <c r="L103" s="674">
        <f t="shared" si="14"/>
        <v>5405.32</v>
      </c>
      <c r="M103" s="741">
        <v>15</v>
      </c>
      <c r="N103" s="674">
        <f t="shared" si="15"/>
        <v>988.78</v>
      </c>
      <c r="O103" s="741">
        <v>8</v>
      </c>
      <c r="P103" s="674">
        <f t="shared" si="16"/>
        <v>527.35</v>
      </c>
      <c r="Q103" s="741">
        <v>15</v>
      </c>
      <c r="R103" s="674">
        <f t="shared" si="17"/>
        <v>2026.99</v>
      </c>
      <c r="S103" s="742">
        <v>50</v>
      </c>
      <c r="T103" s="678">
        <f t="shared" si="18"/>
        <v>6756.65</v>
      </c>
      <c r="U103" s="679">
        <f t="shared" si="19"/>
        <v>22296.938000000002</v>
      </c>
      <c r="V103" s="678">
        <f t="shared" si="20"/>
        <v>2719.14</v>
      </c>
      <c r="W103" s="815">
        <f t="shared" si="22"/>
        <v>25016.078000000001</v>
      </c>
      <c r="X103" s="743">
        <f t="shared" si="24"/>
        <v>21763.987860000001</v>
      </c>
      <c r="Y103" s="756"/>
      <c r="Z103" s="778" t="s">
        <v>1151</v>
      </c>
      <c r="AA103" s="750">
        <f t="shared" si="23"/>
        <v>20014.5</v>
      </c>
      <c r="AB103" s="811"/>
    </row>
    <row r="104" spans="1:28" s="653" customFormat="1" ht="15.75" x14ac:dyDescent="0.25">
      <c r="A104" s="1039"/>
      <c r="B104" s="737"/>
      <c r="C104" s="738" t="s">
        <v>1139</v>
      </c>
      <c r="D104" s="739">
        <v>1</v>
      </c>
      <c r="E104" s="740" t="s">
        <v>1067</v>
      </c>
      <c r="F104" s="727" t="s">
        <v>1117</v>
      </c>
      <c r="G104" s="675">
        <v>5200</v>
      </c>
      <c r="H104" s="674">
        <f t="shared" si="21"/>
        <v>5423.5999999999995</v>
      </c>
      <c r="I104" s="675">
        <v>0.01</v>
      </c>
      <c r="J104" s="675">
        <f t="shared" si="13"/>
        <v>54.24</v>
      </c>
      <c r="K104" s="675">
        <v>1</v>
      </c>
      <c r="L104" s="674">
        <f t="shared" si="14"/>
        <v>5477.84</v>
      </c>
      <c r="M104" s="741">
        <v>15</v>
      </c>
      <c r="N104" s="674">
        <f t="shared" si="15"/>
        <v>821.68</v>
      </c>
      <c r="O104" s="741">
        <v>8</v>
      </c>
      <c r="P104" s="674">
        <f t="shared" si="16"/>
        <v>438.23</v>
      </c>
      <c r="Q104" s="741">
        <v>15</v>
      </c>
      <c r="R104" s="674">
        <f t="shared" si="17"/>
        <v>1832.34</v>
      </c>
      <c r="S104" s="742">
        <v>50</v>
      </c>
      <c r="T104" s="678">
        <f t="shared" si="18"/>
        <v>6107.8</v>
      </c>
      <c r="U104" s="679">
        <f t="shared" si="19"/>
        <v>20155.73</v>
      </c>
      <c r="V104" s="678">
        <f t="shared" si="20"/>
        <v>2259.61</v>
      </c>
      <c r="W104" s="815">
        <f t="shared" si="22"/>
        <v>22415.34</v>
      </c>
      <c r="X104" s="743">
        <f t="shared" si="24"/>
        <v>19501.345799999999</v>
      </c>
      <c r="Y104" s="756"/>
      <c r="Z104" s="670" t="s">
        <v>1152</v>
      </c>
      <c r="AA104" s="750">
        <f t="shared" si="23"/>
        <v>20014.5</v>
      </c>
      <c r="AB104" s="811"/>
    </row>
    <row r="105" spans="1:28" s="653" customFormat="1" ht="16.5" customHeight="1" x14ac:dyDescent="0.25">
      <c r="A105" s="1039"/>
      <c r="B105" s="737"/>
      <c r="C105" s="738" t="s">
        <v>1139</v>
      </c>
      <c r="D105" s="739">
        <v>1</v>
      </c>
      <c r="E105" s="740" t="s">
        <v>1067</v>
      </c>
      <c r="F105" s="727" t="s">
        <v>1117</v>
      </c>
      <c r="G105" s="675">
        <v>5200</v>
      </c>
      <c r="H105" s="674">
        <f t="shared" si="21"/>
        <v>5423.5999999999995</v>
      </c>
      <c r="I105" s="675">
        <v>0.01</v>
      </c>
      <c r="J105" s="675">
        <f t="shared" si="13"/>
        <v>54.24</v>
      </c>
      <c r="K105" s="675">
        <v>1.0900000000000001</v>
      </c>
      <c r="L105" s="674">
        <f t="shared" si="14"/>
        <v>5970.85</v>
      </c>
      <c r="M105" s="741">
        <v>15</v>
      </c>
      <c r="N105" s="674">
        <f t="shared" si="15"/>
        <v>821.68</v>
      </c>
      <c r="O105" s="741">
        <v>8</v>
      </c>
      <c r="P105" s="674">
        <f t="shared" si="16"/>
        <v>438.23</v>
      </c>
      <c r="Q105" s="741">
        <v>15</v>
      </c>
      <c r="R105" s="674">
        <f t="shared" si="17"/>
        <v>1906.29</v>
      </c>
      <c r="S105" s="742">
        <v>50</v>
      </c>
      <c r="T105" s="678">
        <f t="shared" si="18"/>
        <v>6354.3</v>
      </c>
      <c r="U105" s="679">
        <f t="shared" si="19"/>
        <v>20969.189999999999</v>
      </c>
      <c r="V105" s="678">
        <f t="shared" si="20"/>
        <v>2259.61</v>
      </c>
      <c r="W105" s="815">
        <f t="shared" si="22"/>
        <v>23228.799999999999</v>
      </c>
      <c r="X105" s="743">
        <f t="shared" si="24"/>
        <v>20209.056</v>
      </c>
      <c r="Y105" s="756"/>
      <c r="Z105" s="670" t="s">
        <v>1153</v>
      </c>
      <c r="AA105" s="750">
        <f t="shared" si="23"/>
        <v>20014.5</v>
      </c>
      <c r="AB105" s="811"/>
    </row>
    <row r="106" spans="1:28" s="653" customFormat="1" ht="26.25" customHeight="1" x14ac:dyDescent="0.25">
      <c r="A106" s="1039"/>
      <c r="B106" s="737"/>
      <c r="C106" s="738" t="s">
        <v>1154</v>
      </c>
      <c r="D106" s="739">
        <v>1</v>
      </c>
      <c r="E106" s="740"/>
      <c r="F106" s="727" t="s">
        <v>1032</v>
      </c>
      <c r="G106" s="675">
        <v>5200</v>
      </c>
      <c r="H106" s="674">
        <f t="shared" si="21"/>
        <v>5423.5999999999995</v>
      </c>
      <c r="I106" s="675">
        <v>0.04</v>
      </c>
      <c r="J106" s="675">
        <f t="shared" si="13"/>
        <v>216.94</v>
      </c>
      <c r="K106" s="675">
        <v>1.58</v>
      </c>
      <c r="L106" s="674">
        <f t="shared" si="14"/>
        <v>8912.0499999999993</v>
      </c>
      <c r="M106" s="741">
        <v>15</v>
      </c>
      <c r="N106" s="674">
        <f t="shared" si="15"/>
        <v>846.08</v>
      </c>
      <c r="O106" s="741"/>
      <c r="P106" s="674">
        <f t="shared" si="16"/>
        <v>0</v>
      </c>
      <c r="Q106" s="741">
        <v>15</v>
      </c>
      <c r="R106" s="674">
        <f t="shared" si="17"/>
        <v>2309.8000000000002</v>
      </c>
      <c r="S106" s="742">
        <v>50</v>
      </c>
      <c r="T106" s="678">
        <f t="shared" si="18"/>
        <v>7699.34</v>
      </c>
      <c r="U106" s="679">
        <f t="shared" si="19"/>
        <v>25407.809999999998</v>
      </c>
      <c r="V106" s="678">
        <f t="shared" si="20"/>
        <v>2326.7199999999998</v>
      </c>
      <c r="W106" s="815">
        <f t="shared" si="22"/>
        <v>27734.53</v>
      </c>
      <c r="X106" s="743">
        <f t="shared" si="24"/>
        <v>24129.041099999999</v>
      </c>
      <c r="Y106" s="756"/>
      <c r="Z106" s="670" t="s">
        <v>1155</v>
      </c>
      <c r="AA106" s="750">
        <f t="shared" si="23"/>
        <v>20014.5</v>
      </c>
      <c r="AB106" s="811"/>
    </row>
    <row r="107" spans="1:28" s="653" customFormat="1" ht="28.5" customHeight="1" x14ac:dyDescent="0.25">
      <c r="A107" s="1039"/>
      <c r="B107" s="737"/>
      <c r="C107" s="738" t="s">
        <v>1154</v>
      </c>
      <c r="D107" s="739">
        <v>1</v>
      </c>
      <c r="E107" s="740"/>
      <c r="F107" s="727" t="s">
        <v>1032</v>
      </c>
      <c r="G107" s="675">
        <v>5200</v>
      </c>
      <c r="H107" s="674">
        <f t="shared" si="21"/>
        <v>5423.5999999999995</v>
      </c>
      <c r="I107" s="675">
        <v>0.04</v>
      </c>
      <c r="J107" s="675">
        <f t="shared" si="13"/>
        <v>216.94</v>
      </c>
      <c r="K107" s="675">
        <v>1.58</v>
      </c>
      <c r="L107" s="674">
        <f t="shared" si="14"/>
        <v>8912.0499999999993</v>
      </c>
      <c r="M107" s="741">
        <v>15</v>
      </c>
      <c r="N107" s="674">
        <f t="shared" si="15"/>
        <v>846.08</v>
      </c>
      <c r="O107" s="741"/>
      <c r="P107" s="674">
        <f t="shared" si="16"/>
        <v>0</v>
      </c>
      <c r="Q107" s="741">
        <v>15</v>
      </c>
      <c r="R107" s="674">
        <f t="shared" si="17"/>
        <v>2309.8000000000002</v>
      </c>
      <c r="S107" s="742">
        <v>50</v>
      </c>
      <c r="T107" s="678">
        <f t="shared" si="18"/>
        <v>7699.34</v>
      </c>
      <c r="U107" s="679">
        <f t="shared" si="19"/>
        <v>25407.809999999998</v>
      </c>
      <c r="V107" s="678">
        <f t="shared" si="20"/>
        <v>2326.7199999999998</v>
      </c>
      <c r="W107" s="815">
        <f t="shared" si="22"/>
        <v>27734.53</v>
      </c>
      <c r="X107" s="743">
        <f t="shared" si="24"/>
        <v>24129.041099999999</v>
      </c>
      <c r="Y107" s="756"/>
      <c r="Z107" s="670" t="s">
        <v>1156</v>
      </c>
      <c r="AA107" s="750">
        <f t="shared" si="23"/>
        <v>20014.5</v>
      </c>
      <c r="AB107" s="811"/>
    </row>
    <row r="108" spans="1:28" s="653" customFormat="1" ht="19.5" customHeight="1" thickBot="1" x14ac:dyDescent="0.3">
      <c r="A108" s="1040"/>
      <c r="B108" s="774"/>
      <c r="C108" s="775" t="s">
        <v>1133</v>
      </c>
      <c r="D108" s="712">
        <v>1</v>
      </c>
      <c r="E108" s="713" t="s">
        <v>1054</v>
      </c>
      <c r="F108" s="759" t="s">
        <v>1117</v>
      </c>
      <c r="G108" s="714">
        <v>6760</v>
      </c>
      <c r="H108" s="715">
        <f t="shared" si="21"/>
        <v>7050.6799999999994</v>
      </c>
      <c r="I108" s="714">
        <v>0.04</v>
      </c>
      <c r="J108" s="714">
        <f t="shared" si="13"/>
        <v>282.02999999999997</v>
      </c>
      <c r="K108" s="714">
        <v>1.71</v>
      </c>
      <c r="L108" s="715">
        <f t="shared" si="14"/>
        <v>12538.93</v>
      </c>
      <c r="M108" s="716">
        <v>15</v>
      </c>
      <c r="N108" s="715">
        <f t="shared" si="15"/>
        <v>1099.9100000000001</v>
      </c>
      <c r="O108" s="716">
        <v>8</v>
      </c>
      <c r="P108" s="715">
        <f t="shared" si="16"/>
        <v>586.62</v>
      </c>
      <c r="Q108" s="716">
        <v>15</v>
      </c>
      <c r="R108" s="715">
        <f t="shared" si="17"/>
        <v>3233.73</v>
      </c>
      <c r="S108" s="717">
        <v>50</v>
      </c>
      <c r="T108" s="718">
        <f t="shared" si="18"/>
        <v>10779.09</v>
      </c>
      <c r="U108" s="719">
        <f t="shared" si="19"/>
        <v>35570.99</v>
      </c>
      <c r="V108" s="718">
        <f t="shared" si="20"/>
        <v>3024.74</v>
      </c>
      <c r="W108" s="818">
        <f t="shared" si="22"/>
        <v>38595.729999999996</v>
      </c>
      <c r="X108" s="720">
        <f t="shared" si="24"/>
        <v>33578.285100000001</v>
      </c>
      <c r="Y108" s="721"/>
      <c r="Z108" s="829"/>
      <c r="AA108" s="760">
        <f t="shared" si="23"/>
        <v>20014.5</v>
      </c>
      <c r="AB108" s="776"/>
    </row>
    <row r="109" spans="1:28" s="653" customFormat="1" ht="16.5" customHeight="1" x14ac:dyDescent="0.25">
      <c r="A109" s="1031" t="s">
        <v>812</v>
      </c>
      <c r="B109" s="764"/>
      <c r="C109" s="765" t="s">
        <v>1131</v>
      </c>
      <c r="D109" s="697">
        <v>1</v>
      </c>
      <c r="E109" s="698" t="s">
        <v>1056</v>
      </c>
      <c r="F109" s="752" t="s">
        <v>1117</v>
      </c>
      <c r="G109" s="700">
        <v>9360</v>
      </c>
      <c r="H109" s="701">
        <f t="shared" si="21"/>
        <v>9762.48</v>
      </c>
      <c r="I109" s="700">
        <v>0.01</v>
      </c>
      <c r="J109" s="700">
        <f t="shared" si="13"/>
        <v>97.62</v>
      </c>
      <c r="K109" s="700">
        <v>0.44</v>
      </c>
      <c r="L109" s="701">
        <f t="shared" si="14"/>
        <v>4338.4399999999996</v>
      </c>
      <c r="M109" s="702">
        <v>15</v>
      </c>
      <c r="N109" s="701">
        <f t="shared" si="15"/>
        <v>1479.02</v>
      </c>
      <c r="O109" s="702">
        <v>4</v>
      </c>
      <c r="P109" s="701">
        <f t="shared" si="16"/>
        <v>394.4</v>
      </c>
      <c r="Q109" s="702">
        <v>30</v>
      </c>
      <c r="R109" s="701">
        <f t="shared" si="17"/>
        <v>4821.59</v>
      </c>
      <c r="S109" s="703">
        <v>50</v>
      </c>
      <c r="T109" s="704">
        <f t="shared" si="18"/>
        <v>8035.98</v>
      </c>
      <c r="U109" s="705">
        <f t="shared" si="19"/>
        <v>28929.530000000002</v>
      </c>
      <c r="V109" s="704">
        <f t="shared" si="20"/>
        <v>4437.05</v>
      </c>
      <c r="W109" s="817">
        <f>U109+V109</f>
        <v>33366.58</v>
      </c>
      <c r="X109" s="706">
        <f t="shared" si="24"/>
        <v>29028.924600000002</v>
      </c>
      <c r="Y109" s="707"/>
      <c r="Z109" s="827" t="s">
        <v>1157</v>
      </c>
      <c r="AA109" s="746">
        <f t="shared" ref="AA109:AA114" si="25">$AB$13*$AB$16</f>
        <v>21834</v>
      </c>
      <c r="AB109" s="810"/>
    </row>
    <row r="110" spans="1:28" s="653" customFormat="1" ht="16.5" customHeight="1" x14ac:dyDescent="0.25">
      <c r="A110" s="1039"/>
      <c r="B110" s="737"/>
      <c r="C110" s="738" t="s">
        <v>1133</v>
      </c>
      <c r="D110" s="739">
        <v>1</v>
      </c>
      <c r="E110" s="740" t="s">
        <v>1054</v>
      </c>
      <c r="F110" s="727" t="s">
        <v>1117</v>
      </c>
      <c r="G110" s="675">
        <v>6760</v>
      </c>
      <c r="H110" s="674">
        <f t="shared" si="21"/>
        <v>7050.6799999999994</v>
      </c>
      <c r="I110" s="675">
        <v>0.04</v>
      </c>
      <c r="J110" s="675">
        <f t="shared" si="13"/>
        <v>282.02999999999997</v>
      </c>
      <c r="K110" s="675">
        <v>0.46</v>
      </c>
      <c r="L110" s="674">
        <f t="shared" si="14"/>
        <v>3373.05</v>
      </c>
      <c r="M110" s="741">
        <v>15</v>
      </c>
      <c r="N110" s="674">
        <f t="shared" si="15"/>
        <v>1099.9100000000001</v>
      </c>
      <c r="O110" s="741">
        <v>8</v>
      </c>
      <c r="P110" s="674">
        <f t="shared" si="16"/>
        <v>586.62</v>
      </c>
      <c r="Q110" s="741">
        <v>30</v>
      </c>
      <c r="R110" s="674">
        <f t="shared" si="17"/>
        <v>3717.69</v>
      </c>
      <c r="S110" s="742">
        <v>50</v>
      </c>
      <c r="T110" s="678">
        <f t="shared" si="18"/>
        <v>6196.15</v>
      </c>
      <c r="U110" s="679">
        <f t="shared" si="19"/>
        <v>22306.129999999997</v>
      </c>
      <c r="V110" s="678">
        <f t="shared" si="20"/>
        <v>3299.72</v>
      </c>
      <c r="W110" s="815">
        <f t="shared" ref="W110:W173" si="26">U110+V110</f>
        <v>25605.85</v>
      </c>
      <c r="X110" s="743">
        <f t="shared" si="24"/>
        <v>22277.089499999998</v>
      </c>
      <c r="Y110" s="756"/>
      <c r="Z110" s="670" t="s">
        <v>1158</v>
      </c>
      <c r="AA110" s="750">
        <f t="shared" si="25"/>
        <v>21834</v>
      </c>
      <c r="AB110" s="811"/>
    </row>
    <row r="111" spans="1:28" s="653" customFormat="1" ht="16.5" customHeight="1" x14ac:dyDescent="0.25">
      <c r="A111" s="1039"/>
      <c r="B111" s="737"/>
      <c r="C111" s="738" t="s">
        <v>1120</v>
      </c>
      <c r="D111" s="739">
        <v>1</v>
      </c>
      <c r="E111" s="740" t="s">
        <v>1061</v>
      </c>
      <c r="F111" s="727" t="s">
        <v>1117</v>
      </c>
      <c r="G111" s="675">
        <v>6136</v>
      </c>
      <c r="H111" s="674">
        <f t="shared" si="21"/>
        <v>6399.848</v>
      </c>
      <c r="I111" s="675">
        <v>0.03</v>
      </c>
      <c r="J111" s="675">
        <f t="shared" si="13"/>
        <v>192</v>
      </c>
      <c r="K111" s="675">
        <v>0.47</v>
      </c>
      <c r="L111" s="674">
        <f t="shared" si="14"/>
        <v>3098.17</v>
      </c>
      <c r="M111" s="741">
        <v>15</v>
      </c>
      <c r="N111" s="674">
        <f t="shared" si="15"/>
        <v>988.78</v>
      </c>
      <c r="O111" s="741">
        <v>8</v>
      </c>
      <c r="P111" s="674">
        <f t="shared" si="16"/>
        <v>527.35</v>
      </c>
      <c r="Q111" s="741">
        <v>30</v>
      </c>
      <c r="R111" s="674">
        <f t="shared" si="17"/>
        <v>3361.84</v>
      </c>
      <c r="S111" s="742">
        <v>50</v>
      </c>
      <c r="T111" s="678">
        <f t="shared" si="18"/>
        <v>5603.07</v>
      </c>
      <c r="U111" s="679">
        <f t="shared" si="19"/>
        <v>20171.058000000001</v>
      </c>
      <c r="V111" s="678">
        <f t="shared" si="20"/>
        <v>2966.33</v>
      </c>
      <c r="W111" s="815">
        <f t="shared" si="26"/>
        <v>23137.387999999999</v>
      </c>
      <c r="X111" s="743">
        <f t="shared" si="24"/>
        <v>20129.527560000002</v>
      </c>
      <c r="Y111" s="750"/>
      <c r="Z111" s="670" t="s">
        <v>1159</v>
      </c>
      <c r="AA111" s="750">
        <f t="shared" si="25"/>
        <v>21834</v>
      </c>
      <c r="AB111" s="811"/>
    </row>
    <row r="112" spans="1:28" s="653" customFormat="1" ht="16.5" customHeight="1" x14ac:dyDescent="0.25">
      <c r="A112" s="1039"/>
      <c r="B112" s="737"/>
      <c r="C112" s="738" t="s">
        <v>1139</v>
      </c>
      <c r="D112" s="739">
        <v>1</v>
      </c>
      <c r="E112" s="740" t="s">
        <v>1067</v>
      </c>
      <c r="F112" s="727" t="s">
        <v>1117</v>
      </c>
      <c r="G112" s="675">
        <v>5200</v>
      </c>
      <c r="H112" s="674">
        <f t="shared" si="21"/>
        <v>5423.5999999999995</v>
      </c>
      <c r="I112" s="675">
        <v>0.01</v>
      </c>
      <c r="J112" s="675">
        <f t="shared" si="13"/>
        <v>54.24</v>
      </c>
      <c r="K112" s="675">
        <v>0.75</v>
      </c>
      <c r="L112" s="674">
        <f t="shared" si="14"/>
        <v>4108.38</v>
      </c>
      <c r="M112" s="741">
        <v>15</v>
      </c>
      <c r="N112" s="674">
        <f t="shared" si="15"/>
        <v>821.68</v>
      </c>
      <c r="O112" s="741">
        <v>8</v>
      </c>
      <c r="P112" s="674">
        <f t="shared" si="16"/>
        <v>438.23</v>
      </c>
      <c r="Q112" s="741">
        <v>30</v>
      </c>
      <c r="R112" s="674">
        <f t="shared" si="17"/>
        <v>3253.84</v>
      </c>
      <c r="S112" s="742">
        <v>50</v>
      </c>
      <c r="T112" s="678">
        <f t="shared" si="18"/>
        <v>5423.07</v>
      </c>
      <c r="U112" s="679">
        <f t="shared" si="19"/>
        <v>19523.04</v>
      </c>
      <c r="V112" s="678">
        <f t="shared" si="20"/>
        <v>2465.0300000000002</v>
      </c>
      <c r="W112" s="815">
        <f t="shared" si="26"/>
        <v>21988.07</v>
      </c>
      <c r="X112" s="743">
        <f t="shared" si="24"/>
        <v>19129.620900000002</v>
      </c>
      <c r="Y112" s="750"/>
      <c r="Z112" s="670" t="s">
        <v>1160</v>
      </c>
      <c r="AA112" s="750">
        <f t="shared" si="25"/>
        <v>21834</v>
      </c>
      <c r="AB112" s="811"/>
    </row>
    <row r="113" spans="1:28" s="653" customFormat="1" ht="16.5" customHeight="1" x14ac:dyDescent="0.25">
      <c r="A113" s="1039"/>
      <c r="B113" s="737"/>
      <c r="C113" s="738" t="s">
        <v>1139</v>
      </c>
      <c r="D113" s="739">
        <v>1</v>
      </c>
      <c r="E113" s="740" t="s">
        <v>1067</v>
      </c>
      <c r="F113" s="727" t="s">
        <v>1117</v>
      </c>
      <c r="G113" s="675">
        <v>5200</v>
      </c>
      <c r="H113" s="674">
        <f t="shared" si="21"/>
        <v>5423.5999999999995</v>
      </c>
      <c r="I113" s="675">
        <v>0.01</v>
      </c>
      <c r="J113" s="675">
        <f t="shared" si="13"/>
        <v>54.24</v>
      </c>
      <c r="K113" s="675">
        <v>1.18</v>
      </c>
      <c r="L113" s="674">
        <f t="shared" si="14"/>
        <v>6463.85</v>
      </c>
      <c r="M113" s="741">
        <v>15</v>
      </c>
      <c r="N113" s="674">
        <f t="shared" si="15"/>
        <v>821.68</v>
      </c>
      <c r="O113" s="741">
        <v>8</v>
      </c>
      <c r="P113" s="674">
        <f t="shared" si="16"/>
        <v>438.23</v>
      </c>
      <c r="Q113" s="741">
        <v>30</v>
      </c>
      <c r="R113" s="674">
        <f t="shared" si="17"/>
        <v>3960.48</v>
      </c>
      <c r="S113" s="742">
        <v>50</v>
      </c>
      <c r="T113" s="678">
        <f t="shared" si="18"/>
        <v>6600.8</v>
      </c>
      <c r="U113" s="679">
        <f t="shared" si="19"/>
        <v>23762.879999999997</v>
      </c>
      <c r="V113" s="678">
        <f t="shared" si="20"/>
        <v>2465.0300000000002</v>
      </c>
      <c r="W113" s="815">
        <f t="shared" si="26"/>
        <v>26227.909999999996</v>
      </c>
      <c r="X113" s="743">
        <f t="shared" si="24"/>
        <v>22818.281699999996</v>
      </c>
      <c r="Y113" s="750"/>
      <c r="Z113" s="670" t="s">
        <v>1161</v>
      </c>
      <c r="AA113" s="750">
        <f t="shared" si="25"/>
        <v>21834</v>
      </c>
      <c r="AB113" s="811"/>
    </row>
    <row r="114" spans="1:28" s="653" customFormat="1" ht="16.5" customHeight="1" thickBot="1" x14ac:dyDescent="0.3">
      <c r="A114" s="1033"/>
      <c r="B114" s="774"/>
      <c r="C114" s="775" t="s">
        <v>1139</v>
      </c>
      <c r="D114" s="712">
        <v>1</v>
      </c>
      <c r="E114" s="713" t="s">
        <v>1067</v>
      </c>
      <c r="F114" s="759" t="s">
        <v>1117</v>
      </c>
      <c r="G114" s="714">
        <v>5200</v>
      </c>
      <c r="H114" s="715">
        <f t="shared" si="21"/>
        <v>5423.5999999999995</v>
      </c>
      <c r="I114" s="714">
        <v>0.01</v>
      </c>
      <c r="J114" s="714">
        <f t="shared" si="13"/>
        <v>54.24</v>
      </c>
      <c r="K114" s="714">
        <v>0.2</v>
      </c>
      <c r="L114" s="715">
        <f t="shared" si="14"/>
        <v>1095.57</v>
      </c>
      <c r="M114" s="716">
        <v>15</v>
      </c>
      <c r="N114" s="715">
        <f t="shared" si="15"/>
        <v>821.68</v>
      </c>
      <c r="O114" s="716">
        <v>8</v>
      </c>
      <c r="P114" s="715">
        <f t="shared" si="16"/>
        <v>438.23</v>
      </c>
      <c r="Q114" s="716">
        <v>30</v>
      </c>
      <c r="R114" s="715">
        <f t="shared" si="17"/>
        <v>2350</v>
      </c>
      <c r="S114" s="717">
        <v>50</v>
      </c>
      <c r="T114" s="718">
        <f t="shared" si="18"/>
        <v>3916.66</v>
      </c>
      <c r="U114" s="719">
        <f t="shared" si="19"/>
        <v>14099.98</v>
      </c>
      <c r="V114" s="718">
        <f t="shared" si="20"/>
        <v>2465.0300000000002</v>
      </c>
      <c r="W114" s="818">
        <f>U114+V114</f>
        <v>16565.009999999998</v>
      </c>
      <c r="X114" s="720">
        <f>-W114*13/100+U114+V114</f>
        <v>14411.5587</v>
      </c>
      <c r="Y114" s="760"/>
      <c r="Z114" s="829" t="s">
        <v>1162</v>
      </c>
      <c r="AA114" s="760">
        <f t="shared" si="25"/>
        <v>21834</v>
      </c>
      <c r="AB114" s="776">
        <f>AA114-W114</f>
        <v>5268.9900000000016</v>
      </c>
    </row>
    <row r="115" spans="1:28" s="768" customFormat="1" ht="16.5" customHeight="1" x14ac:dyDescent="0.25">
      <c r="A115" s="1041" t="s">
        <v>822</v>
      </c>
      <c r="B115" s="764"/>
      <c r="C115" s="765" t="s">
        <v>1128</v>
      </c>
      <c r="D115" s="697">
        <v>1</v>
      </c>
      <c r="E115" s="698" t="s">
        <v>1129</v>
      </c>
      <c r="F115" s="752" t="s">
        <v>1117</v>
      </c>
      <c r="G115" s="700">
        <v>12792</v>
      </c>
      <c r="H115" s="701">
        <f t="shared" si="21"/>
        <v>13342.055999999999</v>
      </c>
      <c r="I115" s="700">
        <v>0.03</v>
      </c>
      <c r="J115" s="700">
        <f t="shared" si="13"/>
        <v>400.26</v>
      </c>
      <c r="K115" s="700">
        <v>0.28000000000000003</v>
      </c>
      <c r="L115" s="701">
        <f t="shared" si="14"/>
        <v>3847.85</v>
      </c>
      <c r="M115" s="702">
        <v>15</v>
      </c>
      <c r="N115" s="701">
        <f t="shared" si="15"/>
        <v>2061.35</v>
      </c>
      <c r="O115" s="702">
        <v>4</v>
      </c>
      <c r="P115" s="701">
        <f t="shared" si="16"/>
        <v>549.69000000000005</v>
      </c>
      <c r="Q115" s="702">
        <v>15</v>
      </c>
      <c r="R115" s="701">
        <f t="shared" si="17"/>
        <v>3030.18</v>
      </c>
      <c r="S115" s="703">
        <v>50</v>
      </c>
      <c r="T115" s="704">
        <f t="shared" si="18"/>
        <v>10100.6</v>
      </c>
      <c r="U115" s="705">
        <f t="shared" si="19"/>
        <v>33331.985999999997</v>
      </c>
      <c r="V115" s="704">
        <f t="shared" si="20"/>
        <v>5668.71</v>
      </c>
      <c r="W115" s="817">
        <f>U115+V115</f>
        <v>39000.695999999996</v>
      </c>
      <c r="X115" s="706">
        <f t="shared" si="24"/>
        <v>33930.605519999997</v>
      </c>
      <c r="Y115" s="831"/>
      <c r="Z115" s="764" t="s">
        <v>1163</v>
      </c>
      <c r="AA115" s="746">
        <f t="shared" si="23"/>
        <v>20014.5</v>
      </c>
      <c r="AB115" s="810"/>
    </row>
    <row r="116" spans="1:28" s="653" customFormat="1" ht="16.5" customHeight="1" x14ac:dyDescent="0.25">
      <c r="A116" s="1042"/>
      <c r="B116" s="737"/>
      <c r="C116" s="738" t="s">
        <v>1131</v>
      </c>
      <c r="D116" s="739">
        <v>1</v>
      </c>
      <c r="E116" s="740" t="s">
        <v>1056</v>
      </c>
      <c r="F116" s="727" t="s">
        <v>1117</v>
      </c>
      <c r="G116" s="675">
        <v>9360</v>
      </c>
      <c r="H116" s="674">
        <f t="shared" si="21"/>
        <v>9762.48</v>
      </c>
      <c r="I116" s="675">
        <v>0.01</v>
      </c>
      <c r="J116" s="675">
        <f t="shared" si="13"/>
        <v>97.62</v>
      </c>
      <c r="K116" s="675">
        <v>0.62</v>
      </c>
      <c r="L116" s="674">
        <f t="shared" si="14"/>
        <v>6113.26</v>
      </c>
      <c r="M116" s="741">
        <v>15</v>
      </c>
      <c r="N116" s="674">
        <f t="shared" si="15"/>
        <v>1479.02</v>
      </c>
      <c r="O116" s="741">
        <v>4</v>
      </c>
      <c r="P116" s="674">
        <f t="shared" si="16"/>
        <v>394.4</v>
      </c>
      <c r="Q116" s="741">
        <v>15</v>
      </c>
      <c r="R116" s="674">
        <f t="shared" si="17"/>
        <v>2677.02</v>
      </c>
      <c r="S116" s="742">
        <v>50</v>
      </c>
      <c r="T116" s="678">
        <f t="shared" si="18"/>
        <v>8923.39</v>
      </c>
      <c r="U116" s="679">
        <f t="shared" si="19"/>
        <v>29447.190000000002</v>
      </c>
      <c r="V116" s="678">
        <f t="shared" si="20"/>
        <v>4067.29</v>
      </c>
      <c r="W116" s="815">
        <f>U116+V116</f>
        <v>33514.480000000003</v>
      </c>
      <c r="X116" s="743">
        <f t="shared" si="24"/>
        <v>29157.597600000001</v>
      </c>
      <c r="Y116" s="756"/>
      <c r="Z116" s="670" t="s">
        <v>1164</v>
      </c>
      <c r="AA116" s="750">
        <f t="shared" si="23"/>
        <v>20014.5</v>
      </c>
      <c r="AB116" s="811"/>
    </row>
    <row r="117" spans="1:28" s="653" customFormat="1" ht="16.5" customHeight="1" x14ac:dyDescent="0.25">
      <c r="A117" s="1042"/>
      <c r="B117" s="737"/>
      <c r="C117" s="738" t="s">
        <v>1120</v>
      </c>
      <c r="D117" s="739">
        <v>1</v>
      </c>
      <c r="E117" s="740" t="s">
        <v>1061</v>
      </c>
      <c r="F117" s="727" t="s">
        <v>1117</v>
      </c>
      <c r="G117" s="675">
        <v>6136</v>
      </c>
      <c r="H117" s="674">
        <f t="shared" si="21"/>
        <v>6399.848</v>
      </c>
      <c r="I117" s="675">
        <v>0.03</v>
      </c>
      <c r="J117" s="675">
        <f t="shared" si="13"/>
        <v>192</v>
      </c>
      <c r="K117" s="675">
        <v>1.07</v>
      </c>
      <c r="L117" s="674">
        <f t="shared" si="14"/>
        <v>7053.28</v>
      </c>
      <c r="M117" s="741">
        <v>15</v>
      </c>
      <c r="N117" s="674">
        <f t="shared" si="15"/>
        <v>988.78</v>
      </c>
      <c r="O117" s="741">
        <v>8</v>
      </c>
      <c r="P117" s="674">
        <f t="shared" si="16"/>
        <v>527.35</v>
      </c>
      <c r="Q117" s="741">
        <v>15</v>
      </c>
      <c r="R117" s="674">
        <f t="shared" si="17"/>
        <v>2274.19</v>
      </c>
      <c r="S117" s="742">
        <v>50</v>
      </c>
      <c r="T117" s="678">
        <f t="shared" si="18"/>
        <v>7580.63</v>
      </c>
      <c r="U117" s="679">
        <f t="shared" si="19"/>
        <v>25016.078000000001</v>
      </c>
      <c r="V117" s="678">
        <f t="shared" si="20"/>
        <v>2719.14</v>
      </c>
      <c r="W117" s="815">
        <f>U117+V117</f>
        <v>27735.218000000001</v>
      </c>
      <c r="X117" s="743">
        <f t="shared" si="24"/>
        <v>24129.639660000001</v>
      </c>
      <c r="Y117" s="750"/>
      <c r="Z117" s="670" t="s">
        <v>1165</v>
      </c>
      <c r="AA117" s="750">
        <f t="shared" si="23"/>
        <v>20014.5</v>
      </c>
      <c r="AB117" s="811"/>
    </row>
    <row r="118" spans="1:28" s="653" customFormat="1" ht="16.5" customHeight="1" x14ac:dyDescent="0.25">
      <c r="A118" s="1042"/>
      <c r="B118" s="737"/>
      <c r="C118" s="738" t="s">
        <v>1139</v>
      </c>
      <c r="D118" s="739">
        <v>1</v>
      </c>
      <c r="E118" s="740" t="s">
        <v>1067</v>
      </c>
      <c r="F118" s="727" t="s">
        <v>1117</v>
      </c>
      <c r="G118" s="675">
        <v>5200</v>
      </c>
      <c r="H118" s="674">
        <f t="shared" si="21"/>
        <v>5423.5999999999995</v>
      </c>
      <c r="I118" s="675">
        <v>0.01</v>
      </c>
      <c r="J118" s="675">
        <f t="shared" si="13"/>
        <v>54.24</v>
      </c>
      <c r="K118" s="675">
        <v>1.94</v>
      </c>
      <c r="L118" s="674">
        <f t="shared" si="14"/>
        <v>10627.01</v>
      </c>
      <c r="M118" s="741">
        <v>15</v>
      </c>
      <c r="N118" s="674">
        <f t="shared" si="15"/>
        <v>821.68</v>
      </c>
      <c r="O118" s="741">
        <v>8</v>
      </c>
      <c r="P118" s="674">
        <f t="shared" si="16"/>
        <v>438.23</v>
      </c>
      <c r="Q118" s="741">
        <v>15</v>
      </c>
      <c r="R118" s="674">
        <f t="shared" si="17"/>
        <v>2604.71</v>
      </c>
      <c r="S118" s="742">
        <v>50</v>
      </c>
      <c r="T118" s="678">
        <f t="shared" si="18"/>
        <v>8682.3799999999992</v>
      </c>
      <c r="U118" s="679">
        <f t="shared" si="19"/>
        <v>28651.85</v>
      </c>
      <c r="V118" s="678">
        <f t="shared" si="20"/>
        <v>2259.61</v>
      </c>
      <c r="W118" s="815">
        <f t="shared" si="26"/>
        <v>30911.46</v>
      </c>
      <c r="X118" s="743">
        <f t="shared" si="24"/>
        <v>26892.9702</v>
      </c>
      <c r="Y118" s="756"/>
      <c r="Z118" s="670" t="s">
        <v>1166</v>
      </c>
      <c r="AA118" s="750">
        <f t="shared" si="23"/>
        <v>20014.5</v>
      </c>
      <c r="AB118" s="811"/>
    </row>
    <row r="119" spans="1:28" s="653" customFormat="1" ht="16.5" customHeight="1" x14ac:dyDescent="0.25">
      <c r="A119" s="1042"/>
      <c r="B119" s="737"/>
      <c r="C119" s="738" t="s">
        <v>1139</v>
      </c>
      <c r="D119" s="739">
        <v>1</v>
      </c>
      <c r="E119" s="740" t="s">
        <v>1067</v>
      </c>
      <c r="F119" s="727" t="s">
        <v>1117</v>
      </c>
      <c r="G119" s="675">
        <v>5200</v>
      </c>
      <c r="H119" s="674">
        <f t="shared" si="21"/>
        <v>5423.5999999999995</v>
      </c>
      <c r="I119" s="675">
        <v>0.01</v>
      </c>
      <c r="J119" s="675">
        <f t="shared" si="13"/>
        <v>54.24</v>
      </c>
      <c r="K119" s="675">
        <v>1.29</v>
      </c>
      <c r="L119" s="674">
        <f t="shared" si="14"/>
        <v>7066.41</v>
      </c>
      <c r="M119" s="741">
        <v>15</v>
      </c>
      <c r="N119" s="674">
        <f t="shared" si="15"/>
        <v>821.68</v>
      </c>
      <c r="O119" s="741">
        <v>8</v>
      </c>
      <c r="P119" s="674">
        <f t="shared" si="16"/>
        <v>438.23</v>
      </c>
      <c r="Q119" s="741">
        <v>15</v>
      </c>
      <c r="R119" s="674">
        <f t="shared" si="17"/>
        <v>2070.62</v>
      </c>
      <c r="S119" s="742">
        <v>50</v>
      </c>
      <c r="T119" s="678">
        <f t="shared" si="18"/>
        <v>6902.08</v>
      </c>
      <c r="U119" s="679">
        <f t="shared" si="19"/>
        <v>22776.86</v>
      </c>
      <c r="V119" s="678">
        <f t="shared" si="20"/>
        <v>2259.61</v>
      </c>
      <c r="W119" s="815">
        <f t="shared" si="26"/>
        <v>25036.47</v>
      </c>
      <c r="X119" s="743">
        <f t="shared" si="24"/>
        <v>21781.728900000002</v>
      </c>
      <c r="Y119" s="750"/>
      <c r="Z119" s="670" t="s">
        <v>1167</v>
      </c>
      <c r="AA119" s="750">
        <f t="shared" si="23"/>
        <v>20014.5</v>
      </c>
      <c r="AB119" s="811"/>
    </row>
    <row r="120" spans="1:28" s="653" customFormat="1" ht="16.5" customHeight="1" thickBot="1" x14ac:dyDescent="0.3">
      <c r="A120" s="1043"/>
      <c r="B120" s="774"/>
      <c r="C120" s="850" t="s">
        <v>1045</v>
      </c>
      <c r="D120" s="851">
        <v>1</v>
      </c>
      <c r="E120" s="852" t="s">
        <v>1040</v>
      </c>
      <c r="F120" s="759" t="s">
        <v>1032</v>
      </c>
      <c r="G120" s="715">
        <v>4056</v>
      </c>
      <c r="H120" s="715">
        <f t="shared" si="21"/>
        <v>4230.4079999999994</v>
      </c>
      <c r="I120" s="715">
        <v>0.01</v>
      </c>
      <c r="J120" s="715">
        <f t="shared" si="13"/>
        <v>42.3</v>
      </c>
      <c r="K120" s="715">
        <v>0.3</v>
      </c>
      <c r="L120" s="715">
        <f t="shared" si="14"/>
        <v>1281.81</v>
      </c>
      <c r="M120" s="853">
        <v>15</v>
      </c>
      <c r="N120" s="715">
        <f t="shared" si="15"/>
        <v>640.91</v>
      </c>
      <c r="O120" s="853">
        <v>8</v>
      </c>
      <c r="P120" s="715">
        <f t="shared" si="16"/>
        <v>341.82</v>
      </c>
      <c r="Q120" s="853">
        <v>15</v>
      </c>
      <c r="R120" s="715">
        <f t="shared" si="17"/>
        <v>980.59</v>
      </c>
      <c r="S120" s="854">
        <v>50</v>
      </c>
      <c r="T120" s="718">
        <f t="shared" si="18"/>
        <v>3268.62</v>
      </c>
      <c r="U120" s="718">
        <f t="shared" si="19"/>
        <v>10786.457999999999</v>
      </c>
      <c r="V120" s="718">
        <f t="shared" si="20"/>
        <v>1762.49</v>
      </c>
      <c r="W120" s="818">
        <f t="shared" si="26"/>
        <v>12548.947999999999</v>
      </c>
      <c r="X120" s="855">
        <f t="shared" si="24"/>
        <v>10917.584759999998</v>
      </c>
      <c r="Y120" s="721"/>
      <c r="Z120" s="829" t="s">
        <v>1168</v>
      </c>
      <c r="AA120" s="760">
        <f t="shared" si="23"/>
        <v>20014.5</v>
      </c>
      <c r="AB120" s="776">
        <f>AA120-W120</f>
        <v>7465.5520000000015</v>
      </c>
    </row>
    <row r="121" spans="1:28" s="768" customFormat="1" ht="16.5" customHeight="1" x14ac:dyDescent="0.25">
      <c r="A121" s="1031" t="s">
        <v>788</v>
      </c>
      <c r="B121" s="764"/>
      <c r="C121" s="765" t="s">
        <v>1131</v>
      </c>
      <c r="D121" s="697">
        <v>1</v>
      </c>
      <c r="E121" s="698" t="s">
        <v>1056</v>
      </c>
      <c r="F121" s="752" t="s">
        <v>1117</v>
      </c>
      <c r="G121" s="700">
        <v>9360</v>
      </c>
      <c r="H121" s="701">
        <f t="shared" si="21"/>
        <v>9762.48</v>
      </c>
      <c r="I121" s="700">
        <v>0.01</v>
      </c>
      <c r="J121" s="700">
        <f t="shared" si="13"/>
        <v>97.62</v>
      </c>
      <c r="K121" s="700">
        <v>0.46</v>
      </c>
      <c r="L121" s="701">
        <f t="shared" si="14"/>
        <v>4535.6499999999996</v>
      </c>
      <c r="M121" s="702">
        <v>15</v>
      </c>
      <c r="N121" s="701">
        <f t="shared" si="15"/>
        <v>1479.02</v>
      </c>
      <c r="O121" s="702">
        <v>4</v>
      </c>
      <c r="P121" s="701">
        <f t="shared" si="16"/>
        <v>394.4</v>
      </c>
      <c r="Q121" s="702">
        <v>30</v>
      </c>
      <c r="R121" s="701">
        <f t="shared" si="17"/>
        <v>4880.75</v>
      </c>
      <c r="S121" s="703">
        <v>50</v>
      </c>
      <c r="T121" s="704">
        <f t="shared" si="18"/>
        <v>8134.59</v>
      </c>
      <c r="U121" s="705">
        <f t="shared" si="19"/>
        <v>29284.51</v>
      </c>
      <c r="V121" s="704">
        <f t="shared" si="20"/>
        <v>4437.05</v>
      </c>
      <c r="W121" s="817">
        <f t="shared" si="26"/>
        <v>33721.56</v>
      </c>
      <c r="X121" s="706">
        <f t="shared" si="24"/>
        <v>29337.757199999996</v>
      </c>
      <c r="Y121" s="831"/>
      <c r="Z121" s="827" t="s">
        <v>1169</v>
      </c>
      <c r="AA121" s="746">
        <f>$AB$13*$AB$16</f>
        <v>21834</v>
      </c>
      <c r="AB121" s="810"/>
    </row>
    <row r="122" spans="1:28" s="653" customFormat="1" ht="16.5" customHeight="1" x14ac:dyDescent="0.25">
      <c r="A122" s="1039"/>
      <c r="B122" s="737"/>
      <c r="C122" s="738" t="s">
        <v>1139</v>
      </c>
      <c r="D122" s="739">
        <v>1</v>
      </c>
      <c r="E122" s="740" t="s">
        <v>1067</v>
      </c>
      <c r="F122" s="727" t="s">
        <v>1117</v>
      </c>
      <c r="G122" s="675">
        <v>5200</v>
      </c>
      <c r="H122" s="674">
        <f t="shared" si="21"/>
        <v>5423.5999999999995</v>
      </c>
      <c r="I122" s="675">
        <v>0.01</v>
      </c>
      <c r="J122" s="675">
        <f t="shared" si="13"/>
        <v>54.24</v>
      </c>
      <c r="K122" s="675">
        <v>0.46</v>
      </c>
      <c r="L122" s="674">
        <f t="shared" si="14"/>
        <v>2519.81</v>
      </c>
      <c r="M122" s="741">
        <v>15</v>
      </c>
      <c r="N122" s="674">
        <f t="shared" si="15"/>
        <v>821.68</v>
      </c>
      <c r="O122" s="741">
        <v>8</v>
      </c>
      <c r="P122" s="674">
        <f t="shared" si="16"/>
        <v>438.23</v>
      </c>
      <c r="Q122" s="741">
        <v>30</v>
      </c>
      <c r="R122" s="674">
        <f t="shared" si="17"/>
        <v>2777.27</v>
      </c>
      <c r="S122" s="742">
        <v>50</v>
      </c>
      <c r="T122" s="678">
        <f t="shared" si="18"/>
        <v>4628.78</v>
      </c>
      <c r="U122" s="679">
        <f t="shared" si="19"/>
        <v>16663.61</v>
      </c>
      <c r="V122" s="678">
        <f t="shared" si="20"/>
        <v>2465.0300000000002</v>
      </c>
      <c r="W122" s="815">
        <f>U122+V122</f>
        <v>19128.64</v>
      </c>
      <c r="X122" s="743">
        <f t="shared" si="24"/>
        <v>16641.916799999999</v>
      </c>
      <c r="Y122" s="750"/>
      <c r="Z122" s="670" t="s">
        <v>1170</v>
      </c>
      <c r="AA122" s="750">
        <f t="shared" ref="AA122:AA129" si="27">$AB$13*$AB$16</f>
        <v>21834</v>
      </c>
      <c r="AB122" s="811">
        <f>AA122-W122</f>
        <v>2705.3600000000006</v>
      </c>
    </row>
    <row r="123" spans="1:28" s="653" customFormat="1" ht="16.5" customHeight="1" x14ac:dyDescent="0.25">
      <c r="A123" s="1039"/>
      <c r="B123" s="737"/>
      <c r="C123" s="738" t="s">
        <v>1139</v>
      </c>
      <c r="D123" s="739">
        <v>1</v>
      </c>
      <c r="E123" s="740" t="s">
        <v>1067</v>
      </c>
      <c r="F123" s="727" t="s">
        <v>1117</v>
      </c>
      <c r="G123" s="675">
        <v>5200</v>
      </c>
      <c r="H123" s="674">
        <f t="shared" si="21"/>
        <v>5423.5999999999995</v>
      </c>
      <c r="I123" s="675">
        <v>0.01</v>
      </c>
      <c r="J123" s="675">
        <f t="shared" si="13"/>
        <v>54.24</v>
      </c>
      <c r="K123" s="675">
        <v>1.08</v>
      </c>
      <c r="L123" s="674">
        <f t="shared" si="14"/>
        <v>5916.07</v>
      </c>
      <c r="M123" s="741">
        <v>15</v>
      </c>
      <c r="N123" s="674">
        <f t="shared" si="15"/>
        <v>821.68</v>
      </c>
      <c r="O123" s="741">
        <v>8</v>
      </c>
      <c r="P123" s="674">
        <f t="shared" si="16"/>
        <v>438.23</v>
      </c>
      <c r="Q123" s="741">
        <v>30</v>
      </c>
      <c r="R123" s="674">
        <f t="shared" si="17"/>
        <v>3796.15</v>
      </c>
      <c r="S123" s="742">
        <v>50</v>
      </c>
      <c r="T123" s="678">
        <f t="shared" si="18"/>
        <v>6326.91</v>
      </c>
      <c r="U123" s="679">
        <f t="shared" si="19"/>
        <v>22776.880000000001</v>
      </c>
      <c r="V123" s="678">
        <f t="shared" si="20"/>
        <v>2465.0300000000002</v>
      </c>
      <c r="W123" s="815">
        <f t="shared" si="26"/>
        <v>25241.91</v>
      </c>
      <c r="X123" s="743">
        <f t="shared" si="24"/>
        <v>21960.4617</v>
      </c>
      <c r="Y123" s="756"/>
      <c r="Z123" s="670" t="s">
        <v>1171</v>
      </c>
      <c r="AA123" s="750">
        <f t="shared" si="27"/>
        <v>21834</v>
      </c>
      <c r="AB123" s="811"/>
    </row>
    <row r="124" spans="1:28" s="653" customFormat="1" ht="16.5" customHeight="1" x14ac:dyDescent="0.25">
      <c r="A124" s="1039"/>
      <c r="B124" s="737"/>
      <c r="C124" s="738" t="s">
        <v>1139</v>
      </c>
      <c r="D124" s="739">
        <v>1</v>
      </c>
      <c r="E124" s="740" t="s">
        <v>1067</v>
      </c>
      <c r="F124" s="727" t="s">
        <v>1117</v>
      </c>
      <c r="G124" s="675">
        <v>5200</v>
      </c>
      <c r="H124" s="674">
        <f t="shared" si="21"/>
        <v>5423.5999999999995</v>
      </c>
      <c r="I124" s="675">
        <v>0.01</v>
      </c>
      <c r="J124" s="675">
        <f t="shared" si="13"/>
        <v>54.24</v>
      </c>
      <c r="K124" s="675">
        <v>0.88</v>
      </c>
      <c r="L124" s="674">
        <f t="shared" si="14"/>
        <v>4820.5</v>
      </c>
      <c r="M124" s="741">
        <v>15</v>
      </c>
      <c r="N124" s="674">
        <f t="shared" si="15"/>
        <v>821.68</v>
      </c>
      <c r="O124" s="741">
        <v>8</v>
      </c>
      <c r="P124" s="674">
        <f t="shared" si="16"/>
        <v>438.23</v>
      </c>
      <c r="Q124" s="741">
        <v>30</v>
      </c>
      <c r="R124" s="674">
        <f t="shared" si="17"/>
        <v>3467.48</v>
      </c>
      <c r="S124" s="742">
        <v>50</v>
      </c>
      <c r="T124" s="678">
        <f t="shared" si="18"/>
        <v>5779.13</v>
      </c>
      <c r="U124" s="679">
        <f t="shared" si="19"/>
        <v>20804.86</v>
      </c>
      <c r="V124" s="678">
        <f t="shared" si="20"/>
        <v>2465.0300000000002</v>
      </c>
      <c r="W124" s="815">
        <f>U124+V124</f>
        <v>23269.89</v>
      </c>
      <c r="X124" s="743">
        <f t="shared" si="24"/>
        <v>20244.8043</v>
      </c>
      <c r="Y124" s="756"/>
      <c r="Z124" s="670" t="s">
        <v>1172</v>
      </c>
      <c r="AA124" s="750">
        <f t="shared" si="27"/>
        <v>21834</v>
      </c>
      <c r="AB124" s="811"/>
    </row>
    <row r="125" spans="1:28" s="653" customFormat="1" ht="16.5" customHeight="1" thickBot="1" x14ac:dyDescent="0.3">
      <c r="A125" s="1040"/>
      <c r="B125" s="774"/>
      <c r="C125" s="775" t="s">
        <v>1045</v>
      </c>
      <c r="D125" s="712">
        <v>1</v>
      </c>
      <c r="E125" s="713" t="s">
        <v>1040</v>
      </c>
      <c r="F125" s="759" t="s">
        <v>1032</v>
      </c>
      <c r="G125" s="714">
        <v>4056</v>
      </c>
      <c r="H125" s="715">
        <f t="shared" si="21"/>
        <v>4230.4079999999994</v>
      </c>
      <c r="I125" s="714">
        <v>0.01</v>
      </c>
      <c r="J125" s="714">
        <f t="shared" si="13"/>
        <v>42.3</v>
      </c>
      <c r="K125" s="714">
        <v>0.37</v>
      </c>
      <c r="L125" s="715">
        <f t="shared" si="14"/>
        <v>1580.9</v>
      </c>
      <c r="M125" s="716">
        <v>15</v>
      </c>
      <c r="N125" s="715">
        <f t="shared" si="15"/>
        <v>640.91</v>
      </c>
      <c r="O125" s="716">
        <v>8</v>
      </c>
      <c r="P125" s="715">
        <f t="shared" si="16"/>
        <v>341.82</v>
      </c>
      <c r="Q125" s="716">
        <v>30</v>
      </c>
      <c r="R125" s="715">
        <f t="shared" si="17"/>
        <v>2050.9</v>
      </c>
      <c r="S125" s="717">
        <v>50</v>
      </c>
      <c r="T125" s="718">
        <f t="shared" si="18"/>
        <v>3418.17</v>
      </c>
      <c r="U125" s="719">
        <f t="shared" si="19"/>
        <v>12305.407999999999</v>
      </c>
      <c r="V125" s="718">
        <f t="shared" si="20"/>
        <v>1922.72</v>
      </c>
      <c r="W125" s="818">
        <f t="shared" si="26"/>
        <v>14228.127999999999</v>
      </c>
      <c r="X125" s="720">
        <f t="shared" si="24"/>
        <v>12378.47136</v>
      </c>
      <c r="Y125" s="760"/>
      <c r="Z125" s="829" t="s">
        <v>1173</v>
      </c>
      <c r="AA125" s="760">
        <f t="shared" si="27"/>
        <v>21834</v>
      </c>
      <c r="AB125" s="776">
        <f>AA125-W125</f>
        <v>7605.8720000000012</v>
      </c>
    </row>
    <row r="126" spans="1:28" s="768" customFormat="1" ht="16.5" customHeight="1" x14ac:dyDescent="0.25">
      <c r="A126" s="1031" t="s">
        <v>797</v>
      </c>
      <c r="B126" s="764"/>
      <c r="C126" s="765" t="s">
        <v>1128</v>
      </c>
      <c r="D126" s="697">
        <v>1</v>
      </c>
      <c r="E126" s="698" t="s">
        <v>1129</v>
      </c>
      <c r="F126" s="752" t="s">
        <v>1117</v>
      </c>
      <c r="G126" s="700">
        <v>12792</v>
      </c>
      <c r="H126" s="701">
        <f t="shared" si="21"/>
        <v>13342.055999999999</v>
      </c>
      <c r="I126" s="700">
        <v>0.03</v>
      </c>
      <c r="J126" s="700">
        <f t="shared" si="13"/>
        <v>400.26</v>
      </c>
      <c r="K126" s="700">
        <v>0.08</v>
      </c>
      <c r="L126" s="701">
        <f t="shared" si="14"/>
        <v>1099.3900000000001</v>
      </c>
      <c r="M126" s="702">
        <v>15</v>
      </c>
      <c r="N126" s="701">
        <f t="shared" si="15"/>
        <v>2061.35</v>
      </c>
      <c r="O126" s="702">
        <v>4</v>
      </c>
      <c r="P126" s="701">
        <f t="shared" si="16"/>
        <v>549.69000000000005</v>
      </c>
      <c r="Q126" s="702">
        <v>30</v>
      </c>
      <c r="R126" s="701">
        <f t="shared" si="17"/>
        <v>5235.82</v>
      </c>
      <c r="S126" s="703">
        <v>50</v>
      </c>
      <c r="T126" s="704">
        <f t="shared" si="18"/>
        <v>8726.3700000000008</v>
      </c>
      <c r="U126" s="705">
        <f t="shared" si="19"/>
        <v>31414.935999999994</v>
      </c>
      <c r="V126" s="704">
        <f t="shared" si="20"/>
        <v>6184.04</v>
      </c>
      <c r="W126" s="817">
        <f t="shared" si="26"/>
        <v>37598.975999999995</v>
      </c>
      <c r="X126" s="706">
        <f t="shared" si="24"/>
        <v>32711.109119999994</v>
      </c>
      <c r="Y126" s="831"/>
      <c r="Z126" s="827" t="s">
        <v>1174</v>
      </c>
      <c r="AA126" s="746">
        <f>$AB$13*$AB$16</f>
        <v>21834</v>
      </c>
      <c r="AB126" s="810"/>
    </row>
    <row r="127" spans="1:28" s="653" customFormat="1" ht="16.5" customHeight="1" x14ac:dyDescent="0.25">
      <c r="A127" s="1039"/>
      <c r="B127" s="737"/>
      <c r="C127" s="738" t="s">
        <v>1139</v>
      </c>
      <c r="D127" s="739">
        <v>1</v>
      </c>
      <c r="E127" s="740" t="s">
        <v>1067</v>
      </c>
      <c r="F127" s="727" t="s">
        <v>1117</v>
      </c>
      <c r="G127" s="675">
        <v>5200</v>
      </c>
      <c r="H127" s="674">
        <f t="shared" si="21"/>
        <v>5423.5999999999995</v>
      </c>
      <c r="I127" s="675">
        <v>0.01</v>
      </c>
      <c r="J127" s="675">
        <f t="shared" si="13"/>
        <v>54.24</v>
      </c>
      <c r="K127" s="675">
        <v>0.47</v>
      </c>
      <c r="L127" s="674">
        <f t="shared" si="14"/>
        <v>2574.58</v>
      </c>
      <c r="M127" s="741">
        <v>15</v>
      </c>
      <c r="N127" s="674">
        <f t="shared" si="15"/>
        <v>821.68</v>
      </c>
      <c r="O127" s="741">
        <v>8</v>
      </c>
      <c r="P127" s="674">
        <f t="shared" si="16"/>
        <v>438.23</v>
      </c>
      <c r="Q127" s="741">
        <v>30</v>
      </c>
      <c r="R127" s="674">
        <f t="shared" si="17"/>
        <v>2793.7</v>
      </c>
      <c r="S127" s="742">
        <v>50</v>
      </c>
      <c r="T127" s="678">
        <f t="shared" si="18"/>
        <v>4656.17</v>
      </c>
      <c r="U127" s="679">
        <f t="shared" si="19"/>
        <v>16762.199999999997</v>
      </c>
      <c r="V127" s="678">
        <f t="shared" si="20"/>
        <v>2465.0300000000002</v>
      </c>
      <c r="W127" s="815">
        <f t="shared" si="26"/>
        <v>19227.229999999996</v>
      </c>
      <c r="X127" s="743">
        <f t="shared" si="24"/>
        <v>16727.690099999996</v>
      </c>
      <c r="Y127" s="750"/>
      <c r="Z127" s="670" t="s">
        <v>1175</v>
      </c>
      <c r="AA127" s="750">
        <f t="shared" si="27"/>
        <v>21834</v>
      </c>
      <c r="AB127" s="811">
        <f>AA127-W127</f>
        <v>2606.7700000000041</v>
      </c>
    </row>
    <row r="128" spans="1:28" s="653" customFormat="1" ht="16.5" customHeight="1" x14ac:dyDescent="0.25">
      <c r="A128" s="1039"/>
      <c r="B128" s="737"/>
      <c r="C128" s="738" t="s">
        <v>1133</v>
      </c>
      <c r="D128" s="739">
        <v>1</v>
      </c>
      <c r="E128" s="740" t="s">
        <v>1054</v>
      </c>
      <c r="F128" s="727" t="s">
        <v>1117</v>
      </c>
      <c r="G128" s="675">
        <v>6760</v>
      </c>
      <c r="H128" s="674">
        <f t="shared" si="21"/>
        <v>7050.6799999999994</v>
      </c>
      <c r="I128" s="675">
        <v>0.04</v>
      </c>
      <c r="J128" s="675">
        <f t="shared" si="13"/>
        <v>282.02999999999997</v>
      </c>
      <c r="K128" s="675">
        <v>0.76</v>
      </c>
      <c r="L128" s="674">
        <f t="shared" si="14"/>
        <v>5572.86</v>
      </c>
      <c r="M128" s="741">
        <v>15</v>
      </c>
      <c r="N128" s="674">
        <f t="shared" si="15"/>
        <v>1099.9100000000001</v>
      </c>
      <c r="O128" s="741">
        <v>8</v>
      </c>
      <c r="P128" s="674">
        <f t="shared" si="16"/>
        <v>586.62</v>
      </c>
      <c r="Q128" s="741">
        <v>30</v>
      </c>
      <c r="R128" s="674">
        <f t="shared" si="17"/>
        <v>4377.63</v>
      </c>
      <c r="S128" s="742">
        <v>50</v>
      </c>
      <c r="T128" s="678">
        <f t="shared" si="18"/>
        <v>7296.05</v>
      </c>
      <c r="U128" s="679">
        <f t="shared" si="19"/>
        <v>26265.78</v>
      </c>
      <c r="V128" s="678">
        <f t="shared" si="20"/>
        <v>3299.72</v>
      </c>
      <c r="W128" s="815">
        <f t="shared" si="26"/>
        <v>29565.5</v>
      </c>
      <c r="X128" s="743">
        <f t="shared" si="24"/>
        <v>25721.985000000001</v>
      </c>
      <c r="Y128" s="756"/>
      <c r="Z128" s="670" t="s">
        <v>1176</v>
      </c>
      <c r="AA128" s="750">
        <f t="shared" si="27"/>
        <v>21834</v>
      </c>
      <c r="AB128" s="811"/>
    </row>
    <row r="129" spans="1:28" s="653" customFormat="1" ht="16.5" thickBot="1" x14ac:dyDescent="0.3">
      <c r="A129" s="1040"/>
      <c r="B129" s="774"/>
      <c r="C129" s="775" t="s">
        <v>1120</v>
      </c>
      <c r="D129" s="712">
        <v>1</v>
      </c>
      <c r="E129" s="713" t="s">
        <v>1061</v>
      </c>
      <c r="F129" s="759" t="s">
        <v>1117</v>
      </c>
      <c r="G129" s="714">
        <v>6136</v>
      </c>
      <c r="H129" s="715">
        <f t="shared" si="21"/>
        <v>6399.848</v>
      </c>
      <c r="I129" s="714">
        <v>0.03</v>
      </c>
      <c r="J129" s="714">
        <f t="shared" si="13"/>
        <v>192</v>
      </c>
      <c r="K129" s="714">
        <v>0.56999999999999995</v>
      </c>
      <c r="L129" s="715">
        <f t="shared" si="14"/>
        <v>3757.35</v>
      </c>
      <c r="M129" s="716">
        <v>15</v>
      </c>
      <c r="N129" s="715">
        <f t="shared" si="15"/>
        <v>988.78</v>
      </c>
      <c r="O129" s="716">
        <v>8</v>
      </c>
      <c r="P129" s="715">
        <f t="shared" si="16"/>
        <v>527.35</v>
      </c>
      <c r="Q129" s="716">
        <v>30</v>
      </c>
      <c r="R129" s="715">
        <f t="shared" si="17"/>
        <v>3559.6</v>
      </c>
      <c r="S129" s="717">
        <v>50</v>
      </c>
      <c r="T129" s="718">
        <f t="shared" si="18"/>
        <v>5932.66</v>
      </c>
      <c r="U129" s="719">
        <f t="shared" si="19"/>
        <v>21357.588000000003</v>
      </c>
      <c r="V129" s="718">
        <f t="shared" si="20"/>
        <v>2966.33</v>
      </c>
      <c r="W129" s="818">
        <f t="shared" si="26"/>
        <v>24323.918000000005</v>
      </c>
      <c r="X129" s="720">
        <f t="shared" si="24"/>
        <v>21161.808660000002</v>
      </c>
      <c r="Y129" s="721"/>
      <c r="Z129" s="829" t="s">
        <v>1177</v>
      </c>
      <c r="AA129" s="760">
        <f t="shared" si="27"/>
        <v>21834</v>
      </c>
      <c r="AB129" s="776"/>
    </row>
    <row r="130" spans="1:28" s="768" customFormat="1" ht="19.5" customHeight="1" x14ac:dyDescent="0.25">
      <c r="A130" s="1031" t="s">
        <v>783</v>
      </c>
      <c r="B130" s="764"/>
      <c r="C130" s="765" t="s">
        <v>1131</v>
      </c>
      <c r="D130" s="697">
        <v>1</v>
      </c>
      <c r="E130" s="698" t="s">
        <v>1056</v>
      </c>
      <c r="F130" s="752" t="s">
        <v>1117</v>
      </c>
      <c r="G130" s="700">
        <v>9360</v>
      </c>
      <c r="H130" s="701">
        <f t="shared" si="21"/>
        <v>9762.48</v>
      </c>
      <c r="I130" s="700">
        <v>0.01</v>
      </c>
      <c r="J130" s="700">
        <f t="shared" si="13"/>
        <v>97.62</v>
      </c>
      <c r="K130" s="700">
        <v>0.53</v>
      </c>
      <c r="L130" s="701">
        <f t="shared" si="14"/>
        <v>5225.8500000000004</v>
      </c>
      <c r="M130" s="702">
        <v>15</v>
      </c>
      <c r="N130" s="701">
        <f t="shared" si="15"/>
        <v>1479.02</v>
      </c>
      <c r="O130" s="702">
        <v>4</v>
      </c>
      <c r="P130" s="701">
        <f t="shared" si="16"/>
        <v>394.4</v>
      </c>
      <c r="Q130" s="702">
        <v>40</v>
      </c>
      <c r="R130" s="701">
        <f t="shared" si="17"/>
        <v>6783.75</v>
      </c>
      <c r="S130" s="703">
        <v>80</v>
      </c>
      <c r="T130" s="704">
        <f t="shared" si="18"/>
        <v>13567.5</v>
      </c>
      <c r="U130" s="705">
        <f t="shared" si="19"/>
        <v>37310.620000000003</v>
      </c>
      <c r="V130" s="704">
        <f t="shared" si="20"/>
        <v>5423.06</v>
      </c>
      <c r="W130" s="817">
        <f t="shared" si="26"/>
        <v>42733.68</v>
      </c>
      <c r="X130" s="706">
        <f t="shared" si="24"/>
        <v>37178.301599999999</v>
      </c>
      <c r="Y130" s="831"/>
      <c r="Z130" s="827" t="s">
        <v>1178</v>
      </c>
      <c r="AA130" s="746">
        <f t="shared" ref="AA130:AA141" si="28">$AB$13*$AB$17</f>
        <v>26686.000000000004</v>
      </c>
      <c r="AB130" s="810"/>
    </row>
    <row r="131" spans="1:28" s="653" customFormat="1" ht="16.5" customHeight="1" thickBot="1" x14ac:dyDescent="0.3">
      <c r="A131" s="1040"/>
      <c r="B131" s="774"/>
      <c r="C131" s="775" t="s">
        <v>1045</v>
      </c>
      <c r="D131" s="712">
        <v>1</v>
      </c>
      <c r="E131" s="713" t="s">
        <v>1040</v>
      </c>
      <c r="F131" s="759" t="s">
        <v>1032</v>
      </c>
      <c r="G131" s="714">
        <v>4056</v>
      </c>
      <c r="H131" s="715">
        <f t="shared" si="21"/>
        <v>4230.4079999999994</v>
      </c>
      <c r="I131" s="714">
        <v>0.01</v>
      </c>
      <c r="J131" s="714">
        <f t="shared" si="13"/>
        <v>42.3</v>
      </c>
      <c r="K131" s="714">
        <v>0.49</v>
      </c>
      <c r="L131" s="715">
        <f t="shared" si="14"/>
        <v>2093.63</v>
      </c>
      <c r="M131" s="716">
        <v>15</v>
      </c>
      <c r="N131" s="715">
        <f t="shared" si="15"/>
        <v>640.91</v>
      </c>
      <c r="O131" s="716">
        <v>8</v>
      </c>
      <c r="P131" s="715">
        <f t="shared" si="16"/>
        <v>341.82</v>
      </c>
      <c r="Q131" s="716">
        <v>40</v>
      </c>
      <c r="R131" s="715">
        <f t="shared" si="17"/>
        <v>2939.63</v>
      </c>
      <c r="S131" s="717">
        <v>80</v>
      </c>
      <c r="T131" s="718">
        <f t="shared" si="18"/>
        <v>5879.25</v>
      </c>
      <c r="U131" s="719">
        <f t="shared" si="19"/>
        <v>16167.948</v>
      </c>
      <c r="V131" s="718">
        <f t="shared" si="20"/>
        <v>2349.9899999999998</v>
      </c>
      <c r="W131" s="818">
        <f t="shared" si="26"/>
        <v>18517.938000000002</v>
      </c>
      <c r="X131" s="720">
        <f t="shared" si="24"/>
        <v>16110.60606</v>
      </c>
      <c r="Y131" s="760"/>
      <c r="Z131" s="829" t="s">
        <v>1179</v>
      </c>
      <c r="AA131" s="760">
        <f t="shared" si="28"/>
        <v>26686.000000000004</v>
      </c>
      <c r="AB131" s="776">
        <f>AA131-W131</f>
        <v>8168.0620000000017</v>
      </c>
    </row>
    <row r="132" spans="1:28" s="768" customFormat="1" ht="26.25" customHeight="1" x14ac:dyDescent="0.25">
      <c r="A132" s="1031" t="s">
        <v>1180</v>
      </c>
      <c r="B132" s="764"/>
      <c r="C132" s="765" t="s">
        <v>1181</v>
      </c>
      <c r="D132" s="697">
        <v>1</v>
      </c>
      <c r="E132" s="698" t="s">
        <v>1088</v>
      </c>
      <c r="F132" s="752" t="s">
        <v>1117</v>
      </c>
      <c r="G132" s="700">
        <v>7800</v>
      </c>
      <c r="H132" s="701">
        <f t="shared" si="21"/>
        <v>8135.4</v>
      </c>
      <c r="I132" s="700">
        <v>0.04</v>
      </c>
      <c r="J132" s="700">
        <f t="shared" si="13"/>
        <v>325.42</v>
      </c>
      <c r="K132" s="700">
        <v>0.13</v>
      </c>
      <c r="L132" s="701">
        <f t="shared" si="14"/>
        <v>1099.9100000000001</v>
      </c>
      <c r="M132" s="702">
        <v>15</v>
      </c>
      <c r="N132" s="701">
        <f t="shared" si="15"/>
        <v>1269.1199999999999</v>
      </c>
      <c r="O132" s="702"/>
      <c r="P132" s="701">
        <f t="shared" si="16"/>
        <v>0</v>
      </c>
      <c r="Q132" s="702">
        <v>40</v>
      </c>
      <c r="R132" s="701">
        <f t="shared" si="17"/>
        <v>4331.9399999999996</v>
      </c>
      <c r="S132" s="703" t="s">
        <v>1182</v>
      </c>
      <c r="T132" s="704">
        <f t="shared" si="18"/>
        <v>8663.8799999999992</v>
      </c>
      <c r="U132" s="705">
        <f t="shared" si="19"/>
        <v>23825.67</v>
      </c>
      <c r="V132" s="704">
        <f t="shared" si="20"/>
        <v>4653.45</v>
      </c>
      <c r="W132" s="817">
        <f t="shared" si="26"/>
        <v>28479.119999999999</v>
      </c>
      <c r="X132" s="706">
        <f t="shared" si="24"/>
        <v>24776.8344</v>
      </c>
      <c r="Y132" s="831"/>
      <c r="Z132" s="827" t="s">
        <v>1183</v>
      </c>
      <c r="AA132" s="746">
        <f t="shared" si="28"/>
        <v>26686.000000000004</v>
      </c>
      <c r="AB132" s="810"/>
    </row>
    <row r="133" spans="1:28" s="653" customFormat="1" ht="16.5" customHeight="1" x14ac:dyDescent="0.25">
      <c r="A133" s="1039"/>
      <c r="B133" s="737"/>
      <c r="C133" s="738" t="s">
        <v>1133</v>
      </c>
      <c r="D133" s="739">
        <v>1</v>
      </c>
      <c r="E133" s="740" t="s">
        <v>1054</v>
      </c>
      <c r="F133" s="727" t="s">
        <v>1117</v>
      </c>
      <c r="G133" s="675">
        <v>6760</v>
      </c>
      <c r="H133" s="674">
        <f t="shared" si="21"/>
        <v>7050.6799999999994</v>
      </c>
      <c r="I133" s="675">
        <v>0.04</v>
      </c>
      <c r="J133" s="675">
        <f t="shared" si="13"/>
        <v>282.02999999999997</v>
      </c>
      <c r="K133" s="675">
        <v>0.45</v>
      </c>
      <c r="L133" s="674">
        <f t="shared" si="14"/>
        <v>3299.72</v>
      </c>
      <c r="M133" s="741">
        <v>15</v>
      </c>
      <c r="N133" s="674">
        <f t="shared" si="15"/>
        <v>1099.9100000000001</v>
      </c>
      <c r="O133" s="741">
        <v>8</v>
      </c>
      <c r="P133" s="674">
        <f t="shared" si="16"/>
        <v>586.62</v>
      </c>
      <c r="Q133" s="741">
        <v>40</v>
      </c>
      <c r="R133" s="674">
        <f t="shared" si="17"/>
        <v>4927.58</v>
      </c>
      <c r="S133" s="742" t="s">
        <v>1182</v>
      </c>
      <c r="T133" s="678">
        <f t="shared" si="18"/>
        <v>9855.17</v>
      </c>
      <c r="U133" s="679">
        <f t="shared" si="19"/>
        <v>27101.71</v>
      </c>
      <c r="V133" s="678">
        <f t="shared" si="20"/>
        <v>4032.99</v>
      </c>
      <c r="W133" s="815">
        <f t="shared" si="26"/>
        <v>31134.699999999997</v>
      </c>
      <c r="X133" s="743">
        <f t="shared" si="24"/>
        <v>27087.188999999998</v>
      </c>
      <c r="Y133" s="756"/>
      <c r="Z133" s="670" t="s">
        <v>1184</v>
      </c>
      <c r="AA133" s="750">
        <f t="shared" si="28"/>
        <v>26686.000000000004</v>
      </c>
      <c r="AB133" s="811"/>
    </row>
    <row r="134" spans="1:28" s="653" customFormat="1" ht="16.5" customHeight="1" thickBot="1" x14ac:dyDescent="0.3">
      <c r="A134" s="1040"/>
      <c r="B134" s="774"/>
      <c r="C134" s="775" t="s">
        <v>1045</v>
      </c>
      <c r="D134" s="712">
        <v>1</v>
      </c>
      <c r="E134" s="713" t="s">
        <v>1040</v>
      </c>
      <c r="F134" s="759" t="s">
        <v>1032</v>
      </c>
      <c r="G134" s="714">
        <v>4056</v>
      </c>
      <c r="H134" s="715">
        <f t="shared" si="21"/>
        <v>4230.4079999999994</v>
      </c>
      <c r="I134" s="714">
        <v>0.01</v>
      </c>
      <c r="J134" s="714">
        <f t="shared" si="13"/>
        <v>42.3</v>
      </c>
      <c r="K134" s="714">
        <v>0.23</v>
      </c>
      <c r="L134" s="715">
        <f t="shared" si="14"/>
        <v>982.72</v>
      </c>
      <c r="M134" s="716">
        <v>15</v>
      </c>
      <c r="N134" s="715">
        <f t="shared" si="15"/>
        <v>640.91</v>
      </c>
      <c r="O134" s="716">
        <v>8</v>
      </c>
      <c r="P134" s="715">
        <f t="shared" si="16"/>
        <v>341.82</v>
      </c>
      <c r="Q134" s="716">
        <v>40</v>
      </c>
      <c r="R134" s="715">
        <f t="shared" si="17"/>
        <v>2495.2600000000002</v>
      </c>
      <c r="S134" s="717">
        <v>80</v>
      </c>
      <c r="T134" s="718">
        <f t="shared" si="18"/>
        <v>4990.53</v>
      </c>
      <c r="U134" s="719">
        <f t="shared" si="19"/>
        <v>13723.948</v>
      </c>
      <c r="V134" s="718">
        <f t="shared" si="20"/>
        <v>2349.9899999999998</v>
      </c>
      <c r="W134" s="818">
        <f>U134+V134</f>
        <v>16073.938</v>
      </c>
      <c r="X134" s="720">
        <f t="shared" si="24"/>
        <v>13984.326060000001</v>
      </c>
      <c r="Y134" s="760"/>
      <c r="Z134" s="829" t="s">
        <v>1185</v>
      </c>
      <c r="AA134" s="760">
        <f t="shared" si="28"/>
        <v>26686.000000000004</v>
      </c>
      <c r="AB134" s="776">
        <f>AA134-W134</f>
        <v>10612.062000000004</v>
      </c>
    </row>
    <row r="135" spans="1:28" s="768" customFormat="1" ht="16.5" customHeight="1" x14ac:dyDescent="0.25">
      <c r="A135" s="1031" t="s">
        <v>830</v>
      </c>
      <c r="B135" s="764"/>
      <c r="C135" s="765" t="s">
        <v>1045</v>
      </c>
      <c r="D135" s="697">
        <v>1</v>
      </c>
      <c r="E135" s="698" t="s">
        <v>1040</v>
      </c>
      <c r="F135" s="752" t="s">
        <v>1032</v>
      </c>
      <c r="G135" s="700">
        <v>4056</v>
      </c>
      <c r="H135" s="701">
        <f t="shared" si="21"/>
        <v>4230.4079999999994</v>
      </c>
      <c r="I135" s="700">
        <v>0.01</v>
      </c>
      <c r="J135" s="700">
        <f t="shared" si="13"/>
        <v>42.3</v>
      </c>
      <c r="K135" s="700">
        <v>0.28000000000000003</v>
      </c>
      <c r="L135" s="701">
        <f t="shared" si="14"/>
        <v>1196.3599999999999</v>
      </c>
      <c r="M135" s="702">
        <v>15</v>
      </c>
      <c r="N135" s="701">
        <f t="shared" si="15"/>
        <v>640.91</v>
      </c>
      <c r="O135" s="702">
        <v>8</v>
      </c>
      <c r="P135" s="701">
        <f t="shared" si="16"/>
        <v>341.82</v>
      </c>
      <c r="Q135" s="702">
        <v>40</v>
      </c>
      <c r="R135" s="701">
        <f t="shared" si="17"/>
        <v>2580.7199999999998</v>
      </c>
      <c r="S135" s="703">
        <v>80</v>
      </c>
      <c r="T135" s="704">
        <f t="shared" si="18"/>
        <v>5161.4399999999996</v>
      </c>
      <c r="U135" s="705">
        <f t="shared" si="19"/>
        <v>14193.957999999999</v>
      </c>
      <c r="V135" s="704">
        <f t="shared" si="20"/>
        <v>2349.9899999999998</v>
      </c>
      <c r="W135" s="817">
        <f>U135+V135</f>
        <v>16543.947999999997</v>
      </c>
      <c r="X135" s="706">
        <f t="shared" si="24"/>
        <v>14393.234759999999</v>
      </c>
      <c r="Y135" s="746"/>
      <c r="Z135" s="827" t="s">
        <v>1186</v>
      </c>
      <c r="AA135" s="746">
        <f t="shared" si="28"/>
        <v>26686.000000000004</v>
      </c>
      <c r="AB135" s="810">
        <f>AA135-W135</f>
        <v>10142.052000000007</v>
      </c>
    </row>
    <row r="136" spans="1:28" s="768" customFormat="1" ht="16.5" customHeight="1" thickBot="1" x14ac:dyDescent="0.3">
      <c r="A136" s="1040"/>
      <c r="B136" s="774"/>
      <c r="C136" s="775" t="s">
        <v>1120</v>
      </c>
      <c r="D136" s="712">
        <v>1</v>
      </c>
      <c r="E136" s="713" t="s">
        <v>1061</v>
      </c>
      <c r="F136" s="759" t="s">
        <v>1117</v>
      </c>
      <c r="G136" s="714">
        <v>6136</v>
      </c>
      <c r="H136" s="715">
        <f t="shared" si="21"/>
        <v>6399.848</v>
      </c>
      <c r="I136" s="714">
        <v>0.03</v>
      </c>
      <c r="J136" s="714">
        <f t="shared" si="13"/>
        <v>192</v>
      </c>
      <c r="K136" s="714">
        <v>0.36</v>
      </c>
      <c r="L136" s="715">
        <f t="shared" si="14"/>
        <v>2373.0700000000002</v>
      </c>
      <c r="M136" s="716">
        <v>15</v>
      </c>
      <c r="N136" s="715">
        <f t="shared" si="15"/>
        <v>988.78</v>
      </c>
      <c r="O136" s="716">
        <v>8</v>
      </c>
      <c r="P136" s="715">
        <f t="shared" si="16"/>
        <v>527.35</v>
      </c>
      <c r="Q136" s="716">
        <v>40</v>
      </c>
      <c r="R136" s="715">
        <f t="shared" si="17"/>
        <v>4192.42</v>
      </c>
      <c r="S136" s="717">
        <v>80</v>
      </c>
      <c r="T136" s="718">
        <f t="shared" si="18"/>
        <v>8384.84</v>
      </c>
      <c r="U136" s="719">
        <f t="shared" si="19"/>
        <v>23058.308000000001</v>
      </c>
      <c r="V136" s="718">
        <f t="shared" si="20"/>
        <v>3625.52</v>
      </c>
      <c r="W136" s="818">
        <f>U136+V136</f>
        <v>26683.828000000001</v>
      </c>
      <c r="X136" s="720">
        <f t="shared" si="24"/>
        <v>23214.930360000002</v>
      </c>
      <c r="Y136" s="849"/>
      <c r="Z136" s="829" t="s">
        <v>1187</v>
      </c>
      <c r="AA136" s="760">
        <f t="shared" si="28"/>
        <v>26686.000000000004</v>
      </c>
      <c r="AB136" s="776">
        <f>AA136-W136</f>
        <v>2.1720000000022992</v>
      </c>
    </row>
    <row r="137" spans="1:28" s="768" customFormat="1" ht="16.5" customHeight="1" x14ac:dyDescent="0.25">
      <c r="A137" s="1031" t="s">
        <v>1188</v>
      </c>
      <c r="B137" s="764"/>
      <c r="C137" s="765" t="s">
        <v>1128</v>
      </c>
      <c r="D137" s="697">
        <v>1</v>
      </c>
      <c r="E137" s="698" t="s">
        <v>1129</v>
      </c>
      <c r="F137" s="752" t="s">
        <v>1117</v>
      </c>
      <c r="G137" s="700">
        <v>12792</v>
      </c>
      <c r="H137" s="701">
        <f t="shared" si="21"/>
        <v>13342.055999999999</v>
      </c>
      <c r="I137" s="700">
        <v>0.03</v>
      </c>
      <c r="J137" s="700">
        <f t="shared" si="13"/>
        <v>400.26</v>
      </c>
      <c r="K137" s="700">
        <v>0.1</v>
      </c>
      <c r="L137" s="701">
        <f t="shared" si="14"/>
        <v>1374.23</v>
      </c>
      <c r="M137" s="702">
        <v>15</v>
      </c>
      <c r="N137" s="701">
        <f t="shared" si="15"/>
        <v>2061.35</v>
      </c>
      <c r="O137" s="702">
        <v>4</v>
      </c>
      <c r="P137" s="701">
        <f t="shared" si="16"/>
        <v>549.69000000000005</v>
      </c>
      <c r="Q137" s="702">
        <v>40</v>
      </c>
      <c r="R137" s="701">
        <f t="shared" si="17"/>
        <v>7091.03</v>
      </c>
      <c r="S137" s="703">
        <v>80</v>
      </c>
      <c r="T137" s="704">
        <f t="shared" si="18"/>
        <v>14182.07</v>
      </c>
      <c r="U137" s="705">
        <f t="shared" si="19"/>
        <v>39000.685999999994</v>
      </c>
      <c r="V137" s="704">
        <f t="shared" si="20"/>
        <v>7558.27</v>
      </c>
      <c r="W137" s="817">
        <f t="shared" si="26"/>
        <v>46558.955999999991</v>
      </c>
      <c r="X137" s="706">
        <f t="shared" si="24"/>
        <v>40506.291719999994</v>
      </c>
      <c r="Y137" s="831"/>
      <c r="Z137" s="827" t="s">
        <v>1189</v>
      </c>
      <c r="AA137" s="746">
        <f t="shared" si="28"/>
        <v>26686.000000000004</v>
      </c>
      <c r="AB137" s="810"/>
    </row>
    <row r="138" spans="1:28" s="653" customFormat="1" ht="15" customHeight="1" x14ac:dyDescent="0.25">
      <c r="A138" s="1039"/>
      <c r="B138" s="737"/>
      <c r="C138" s="738" t="s">
        <v>1120</v>
      </c>
      <c r="D138" s="739">
        <v>1</v>
      </c>
      <c r="E138" s="740" t="s">
        <v>1061</v>
      </c>
      <c r="F138" s="727" t="s">
        <v>1117</v>
      </c>
      <c r="G138" s="675">
        <v>6136</v>
      </c>
      <c r="H138" s="674">
        <f t="shared" si="21"/>
        <v>6399.848</v>
      </c>
      <c r="I138" s="675">
        <v>0.03</v>
      </c>
      <c r="J138" s="675">
        <f t="shared" si="13"/>
        <v>192</v>
      </c>
      <c r="K138" s="675">
        <v>0.85</v>
      </c>
      <c r="L138" s="674">
        <f t="shared" si="14"/>
        <v>5603.07</v>
      </c>
      <c r="M138" s="741">
        <v>15</v>
      </c>
      <c r="N138" s="674">
        <f t="shared" si="15"/>
        <v>988.78</v>
      </c>
      <c r="O138" s="741">
        <v>8</v>
      </c>
      <c r="P138" s="674">
        <f t="shared" si="16"/>
        <v>527.35</v>
      </c>
      <c r="Q138" s="741">
        <v>40</v>
      </c>
      <c r="R138" s="674">
        <f t="shared" si="17"/>
        <v>5484.42</v>
      </c>
      <c r="S138" s="742">
        <v>80</v>
      </c>
      <c r="T138" s="678">
        <f t="shared" si="18"/>
        <v>10968.84</v>
      </c>
      <c r="U138" s="679">
        <f t="shared" si="19"/>
        <v>30164.308000000001</v>
      </c>
      <c r="V138" s="678">
        <f t="shared" si="20"/>
        <v>3625.52</v>
      </c>
      <c r="W138" s="815">
        <f t="shared" si="26"/>
        <v>33789.828000000001</v>
      </c>
      <c r="X138" s="743">
        <f t="shared" si="24"/>
        <v>29397.150360000003</v>
      </c>
      <c r="Y138" s="756"/>
      <c r="Z138" s="670" t="s">
        <v>1190</v>
      </c>
      <c r="AA138" s="750">
        <f t="shared" si="28"/>
        <v>26686.000000000004</v>
      </c>
      <c r="AB138" s="811"/>
    </row>
    <row r="139" spans="1:28" s="653" customFormat="1" ht="16.5" thickBot="1" x14ac:dyDescent="0.3">
      <c r="A139" s="1040"/>
      <c r="B139" s="774"/>
      <c r="C139" s="775" t="s">
        <v>1120</v>
      </c>
      <c r="D139" s="712">
        <v>1</v>
      </c>
      <c r="E139" s="713" t="s">
        <v>1061</v>
      </c>
      <c r="F139" s="759" t="s">
        <v>1117</v>
      </c>
      <c r="G139" s="714">
        <v>6136</v>
      </c>
      <c r="H139" s="715">
        <f t="shared" si="21"/>
        <v>6399.848</v>
      </c>
      <c r="I139" s="714">
        <v>0.03</v>
      </c>
      <c r="J139" s="714">
        <f t="shared" si="13"/>
        <v>192</v>
      </c>
      <c r="K139" s="714">
        <v>0.31</v>
      </c>
      <c r="L139" s="715">
        <f t="shared" si="14"/>
        <v>2043.47</v>
      </c>
      <c r="M139" s="716">
        <v>15</v>
      </c>
      <c r="N139" s="715">
        <f t="shared" si="15"/>
        <v>988.78</v>
      </c>
      <c r="O139" s="716">
        <v>8</v>
      </c>
      <c r="P139" s="715">
        <f t="shared" si="16"/>
        <v>527.35</v>
      </c>
      <c r="Q139" s="716">
        <v>40</v>
      </c>
      <c r="R139" s="715">
        <f t="shared" si="17"/>
        <v>4060.58</v>
      </c>
      <c r="S139" s="717">
        <v>80</v>
      </c>
      <c r="T139" s="718">
        <f t="shared" si="18"/>
        <v>8121.16</v>
      </c>
      <c r="U139" s="719">
        <f t="shared" si="19"/>
        <v>22333.188000000002</v>
      </c>
      <c r="V139" s="718">
        <f t="shared" si="20"/>
        <v>3625.52</v>
      </c>
      <c r="W139" s="818">
        <f t="shared" si="26"/>
        <v>25958.708000000002</v>
      </c>
      <c r="X139" s="720">
        <f t="shared" si="24"/>
        <v>22584.075960000002</v>
      </c>
      <c r="Y139" s="760"/>
      <c r="Z139" s="829" t="s">
        <v>1191</v>
      </c>
      <c r="AA139" s="760">
        <f t="shared" si="28"/>
        <v>26686.000000000004</v>
      </c>
      <c r="AB139" s="776">
        <f>AA139-W139</f>
        <v>727.29200000000128</v>
      </c>
    </row>
    <row r="140" spans="1:28" s="768" customFormat="1" ht="16.5" customHeight="1" x14ac:dyDescent="0.25">
      <c r="A140" s="1031" t="s">
        <v>914</v>
      </c>
      <c r="B140" s="764"/>
      <c r="C140" s="765" t="s">
        <v>1131</v>
      </c>
      <c r="D140" s="697">
        <v>1</v>
      </c>
      <c r="E140" s="698" t="s">
        <v>1056</v>
      </c>
      <c r="F140" s="752" t="s">
        <v>1117</v>
      </c>
      <c r="G140" s="700">
        <v>9360</v>
      </c>
      <c r="H140" s="701">
        <f t="shared" si="21"/>
        <v>9762.48</v>
      </c>
      <c r="I140" s="700">
        <v>0.01</v>
      </c>
      <c r="J140" s="700">
        <f t="shared" si="13"/>
        <v>97.62</v>
      </c>
      <c r="K140" s="700">
        <v>0.05</v>
      </c>
      <c r="L140" s="701">
        <f t="shared" si="14"/>
        <v>493.01</v>
      </c>
      <c r="M140" s="702">
        <v>15</v>
      </c>
      <c r="N140" s="701">
        <f t="shared" si="15"/>
        <v>1479.02</v>
      </c>
      <c r="O140" s="702">
        <v>4</v>
      </c>
      <c r="P140" s="701">
        <f t="shared" si="16"/>
        <v>394.4</v>
      </c>
      <c r="Q140" s="702">
        <v>40</v>
      </c>
      <c r="R140" s="701">
        <f t="shared" si="17"/>
        <v>4890.6099999999997</v>
      </c>
      <c r="S140" s="703">
        <v>80</v>
      </c>
      <c r="T140" s="704">
        <f t="shared" si="18"/>
        <v>9781.2199999999993</v>
      </c>
      <c r="U140" s="705">
        <f t="shared" si="19"/>
        <v>26898.36</v>
      </c>
      <c r="V140" s="704">
        <f t="shared" si="20"/>
        <v>5423.06</v>
      </c>
      <c r="W140" s="817">
        <f>U140+V140</f>
        <v>32321.420000000002</v>
      </c>
      <c r="X140" s="706">
        <f t="shared" si="24"/>
        <v>28119.635400000003</v>
      </c>
      <c r="Y140" s="831"/>
      <c r="Z140" s="827" t="s">
        <v>1192</v>
      </c>
      <c r="AA140" s="746">
        <f t="shared" si="28"/>
        <v>26686.000000000004</v>
      </c>
      <c r="AB140" s="810"/>
    </row>
    <row r="141" spans="1:28" s="653" customFormat="1" ht="16.5" customHeight="1" thickBot="1" x14ac:dyDescent="0.3">
      <c r="A141" s="1040"/>
      <c r="B141" s="774"/>
      <c r="C141" s="775" t="s">
        <v>1193</v>
      </c>
      <c r="D141" s="712">
        <v>1</v>
      </c>
      <c r="E141" s="713" t="s">
        <v>1040</v>
      </c>
      <c r="F141" s="759" t="s">
        <v>1032</v>
      </c>
      <c r="G141" s="714">
        <v>4056</v>
      </c>
      <c r="H141" s="715">
        <f t="shared" si="21"/>
        <v>4230.4079999999994</v>
      </c>
      <c r="I141" s="714">
        <v>0.01</v>
      </c>
      <c r="J141" s="714">
        <f t="shared" si="13"/>
        <v>42.3</v>
      </c>
      <c r="K141" s="714">
        <v>0.6</v>
      </c>
      <c r="L141" s="715">
        <f t="shared" si="14"/>
        <v>2563.62</v>
      </c>
      <c r="M141" s="716">
        <v>15</v>
      </c>
      <c r="N141" s="715">
        <f t="shared" si="15"/>
        <v>640.91</v>
      </c>
      <c r="O141" s="716">
        <v>8</v>
      </c>
      <c r="P141" s="715">
        <f t="shared" si="16"/>
        <v>341.82</v>
      </c>
      <c r="Q141" s="716">
        <v>40</v>
      </c>
      <c r="R141" s="715">
        <f t="shared" si="17"/>
        <v>3127.62</v>
      </c>
      <c r="S141" s="717">
        <v>80</v>
      </c>
      <c r="T141" s="718">
        <f t="shared" si="18"/>
        <v>6255.25</v>
      </c>
      <c r="U141" s="719">
        <f t="shared" si="19"/>
        <v>17201.928</v>
      </c>
      <c r="V141" s="718">
        <f t="shared" si="20"/>
        <v>2349.9899999999998</v>
      </c>
      <c r="W141" s="818">
        <f>U141+V141</f>
        <v>19551.917999999998</v>
      </c>
      <c r="X141" s="720">
        <f t="shared" si="24"/>
        <v>17010.168659999999</v>
      </c>
      <c r="Y141" s="760"/>
      <c r="Z141" s="829" t="s">
        <v>1194</v>
      </c>
      <c r="AA141" s="760">
        <f t="shared" si="28"/>
        <v>26686.000000000004</v>
      </c>
      <c r="AB141" s="776">
        <f>AA141-W141</f>
        <v>7134.0820000000058</v>
      </c>
    </row>
    <row r="142" spans="1:28" s="653" customFormat="1" ht="32.25" customHeight="1" thickBot="1" x14ac:dyDescent="0.3">
      <c r="A142" s="832" t="s">
        <v>1195</v>
      </c>
      <c r="B142" s="833"/>
      <c r="C142" s="834" t="s">
        <v>1139</v>
      </c>
      <c r="D142" s="835">
        <v>1</v>
      </c>
      <c r="E142" s="836" t="s">
        <v>1067</v>
      </c>
      <c r="F142" s="837" t="s">
        <v>1117</v>
      </c>
      <c r="G142" s="838">
        <v>5200</v>
      </c>
      <c r="H142" s="839">
        <f t="shared" si="21"/>
        <v>5423.5999999999995</v>
      </c>
      <c r="I142" s="838">
        <v>0.01</v>
      </c>
      <c r="J142" s="838">
        <f t="shared" si="13"/>
        <v>54.24</v>
      </c>
      <c r="K142" s="838">
        <v>0.88</v>
      </c>
      <c r="L142" s="839">
        <f t="shared" si="14"/>
        <v>4820.5</v>
      </c>
      <c r="M142" s="840">
        <v>15</v>
      </c>
      <c r="N142" s="839">
        <f t="shared" si="15"/>
        <v>821.68</v>
      </c>
      <c r="O142" s="840">
        <v>8</v>
      </c>
      <c r="P142" s="839">
        <f t="shared" si="16"/>
        <v>438.23</v>
      </c>
      <c r="Q142" s="840">
        <v>30</v>
      </c>
      <c r="R142" s="839">
        <f t="shared" si="17"/>
        <v>3467.48</v>
      </c>
      <c r="S142" s="841">
        <v>50</v>
      </c>
      <c r="T142" s="842">
        <f t="shared" si="18"/>
        <v>5779.13</v>
      </c>
      <c r="U142" s="843">
        <f t="shared" si="19"/>
        <v>20804.86</v>
      </c>
      <c r="V142" s="842">
        <f t="shared" si="20"/>
        <v>2465.0300000000002</v>
      </c>
      <c r="W142" s="844">
        <f t="shared" si="26"/>
        <v>23269.89</v>
      </c>
      <c r="X142" s="845">
        <f t="shared" si="24"/>
        <v>20244.8043</v>
      </c>
      <c r="Y142" s="846"/>
      <c r="Z142" s="847" t="s">
        <v>1196</v>
      </c>
      <c r="AA142" s="846">
        <f>$AB$13*$AB$16</f>
        <v>21834</v>
      </c>
      <c r="AB142" s="848"/>
    </row>
    <row r="143" spans="1:28" s="768" customFormat="1" ht="16.5" customHeight="1" x14ac:dyDescent="0.25">
      <c r="A143" s="1031" t="s">
        <v>1197</v>
      </c>
      <c r="B143" s="764"/>
      <c r="C143" s="765" t="s">
        <v>1128</v>
      </c>
      <c r="D143" s="697">
        <v>1</v>
      </c>
      <c r="E143" s="698" t="s">
        <v>1129</v>
      </c>
      <c r="F143" s="752" t="s">
        <v>1117</v>
      </c>
      <c r="G143" s="700">
        <v>12792</v>
      </c>
      <c r="H143" s="701">
        <f t="shared" si="21"/>
        <v>13342.055999999999</v>
      </c>
      <c r="I143" s="700">
        <v>0.03</v>
      </c>
      <c r="J143" s="700">
        <f t="shared" si="13"/>
        <v>400.26</v>
      </c>
      <c r="K143" s="700">
        <v>0.4</v>
      </c>
      <c r="L143" s="701">
        <f t="shared" si="14"/>
        <v>5496.93</v>
      </c>
      <c r="M143" s="702">
        <v>15</v>
      </c>
      <c r="N143" s="701">
        <f t="shared" si="15"/>
        <v>2061.35</v>
      </c>
      <c r="O143" s="702">
        <v>4</v>
      </c>
      <c r="P143" s="701">
        <f t="shared" si="16"/>
        <v>549.69000000000005</v>
      </c>
      <c r="Q143" s="702">
        <v>15</v>
      </c>
      <c r="R143" s="701">
        <f t="shared" si="17"/>
        <v>3277.54</v>
      </c>
      <c r="S143" s="703">
        <v>50</v>
      </c>
      <c r="T143" s="704">
        <f t="shared" si="18"/>
        <v>10925.14</v>
      </c>
      <c r="U143" s="705">
        <f t="shared" si="19"/>
        <v>36052.966</v>
      </c>
      <c r="V143" s="704">
        <f t="shared" si="20"/>
        <v>5668.71</v>
      </c>
      <c r="W143" s="817">
        <f t="shared" si="26"/>
        <v>41721.675999999999</v>
      </c>
      <c r="X143" s="706">
        <f t="shared" si="24"/>
        <v>36297.858120000004</v>
      </c>
      <c r="Y143" s="831"/>
      <c r="Z143" s="827" t="s">
        <v>1198</v>
      </c>
      <c r="AA143" s="746">
        <f t="shared" si="23"/>
        <v>20014.5</v>
      </c>
      <c r="AB143" s="810"/>
    </row>
    <row r="144" spans="1:28" s="653" customFormat="1" ht="16.5" customHeight="1" x14ac:dyDescent="0.25">
      <c r="A144" s="1034"/>
      <c r="B144" s="737"/>
      <c r="C144" s="738" t="s">
        <v>1131</v>
      </c>
      <c r="D144" s="739">
        <v>1</v>
      </c>
      <c r="E144" s="740" t="s">
        <v>1056</v>
      </c>
      <c r="F144" s="727" t="s">
        <v>1117</v>
      </c>
      <c r="G144" s="675">
        <v>9360</v>
      </c>
      <c r="H144" s="674">
        <f t="shared" si="21"/>
        <v>9762.48</v>
      </c>
      <c r="I144" s="675">
        <v>0.01</v>
      </c>
      <c r="J144" s="675">
        <f t="shared" si="13"/>
        <v>97.62</v>
      </c>
      <c r="K144" s="675">
        <v>0.43</v>
      </c>
      <c r="L144" s="674">
        <f t="shared" si="14"/>
        <v>4239.84</v>
      </c>
      <c r="M144" s="741">
        <v>15</v>
      </c>
      <c r="N144" s="674">
        <f t="shared" si="15"/>
        <v>1479.02</v>
      </c>
      <c r="O144" s="741">
        <v>8</v>
      </c>
      <c r="P144" s="674">
        <f t="shared" si="16"/>
        <v>788.81</v>
      </c>
      <c r="Q144" s="741">
        <v>15</v>
      </c>
      <c r="R144" s="674">
        <f t="shared" si="17"/>
        <v>2455.17</v>
      </c>
      <c r="S144" s="742">
        <v>50</v>
      </c>
      <c r="T144" s="678">
        <f t="shared" si="18"/>
        <v>8183.89</v>
      </c>
      <c r="U144" s="679">
        <f t="shared" si="19"/>
        <v>27006.83</v>
      </c>
      <c r="V144" s="678">
        <f t="shared" si="20"/>
        <v>4067.29</v>
      </c>
      <c r="W144" s="815">
        <f t="shared" si="26"/>
        <v>31074.120000000003</v>
      </c>
      <c r="X144" s="743">
        <f t="shared" si="24"/>
        <v>27034.484400000001</v>
      </c>
      <c r="Y144" s="756"/>
      <c r="Z144" s="670" t="s">
        <v>1199</v>
      </c>
      <c r="AA144" s="750">
        <f t="shared" si="23"/>
        <v>20014.5</v>
      </c>
      <c r="AB144" s="811"/>
    </row>
    <row r="145" spans="1:28" s="653" customFormat="1" ht="16.5" customHeight="1" x14ac:dyDescent="0.25">
      <c r="A145" s="1034"/>
      <c r="B145" s="737"/>
      <c r="C145" s="738" t="s">
        <v>1133</v>
      </c>
      <c r="D145" s="739">
        <v>1</v>
      </c>
      <c r="E145" s="740" t="s">
        <v>1054</v>
      </c>
      <c r="F145" s="727" t="s">
        <v>1117</v>
      </c>
      <c r="G145" s="675">
        <v>6760</v>
      </c>
      <c r="H145" s="674">
        <f t="shared" si="21"/>
        <v>7050.6799999999994</v>
      </c>
      <c r="I145" s="675">
        <v>0.04</v>
      </c>
      <c r="J145" s="675">
        <f t="shared" si="13"/>
        <v>282.02999999999997</v>
      </c>
      <c r="K145" s="675">
        <v>0.81</v>
      </c>
      <c r="L145" s="674">
        <f t="shared" si="14"/>
        <v>5939.5</v>
      </c>
      <c r="M145" s="741">
        <v>15</v>
      </c>
      <c r="N145" s="674">
        <f t="shared" si="15"/>
        <v>1099.9100000000001</v>
      </c>
      <c r="O145" s="741">
        <v>8</v>
      </c>
      <c r="P145" s="674">
        <f t="shared" si="16"/>
        <v>586.62</v>
      </c>
      <c r="Q145" s="741">
        <v>15</v>
      </c>
      <c r="R145" s="674">
        <f t="shared" si="17"/>
        <v>2243.81</v>
      </c>
      <c r="S145" s="742">
        <v>50</v>
      </c>
      <c r="T145" s="678">
        <f t="shared" si="18"/>
        <v>7479.37</v>
      </c>
      <c r="U145" s="679">
        <f t="shared" si="19"/>
        <v>24681.919999999998</v>
      </c>
      <c r="V145" s="678">
        <f t="shared" si="20"/>
        <v>3024.74</v>
      </c>
      <c r="W145" s="815">
        <f t="shared" si="26"/>
        <v>27706.659999999996</v>
      </c>
      <c r="X145" s="743">
        <f t="shared" si="24"/>
        <v>24104.794199999997</v>
      </c>
      <c r="Y145" s="756"/>
      <c r="Z145" s="670" t="s">
        <v>1200</v>
      </c>
      <c r="AA145" s="750">
        <f t="shared" si="23"/>
        <v>20014.5</v>
      </c>
      <c r="AB145" s="811"/>
    </row>
    <row r="146" spans="1:28" s="653" customFormat="1" ht="16.5" customHeight="1" x14ac:dyDescent="0.25">
      <c r="A146" s="1034"/>
      <c r="B146" s="737"/>
      <c r="C146" s="738" t="s">
        <v>1133</v>
      </c>
      <c r="D146" s="739">
        <v>1</v>
      </c>
      <c r="E146" s="740" t="s">
        <v>1054</v>
      </c>
      <c r="F146" s="727" t="s">
        <v>1117</v>
      </c>
      <c r="G146" s="675">
        <v>6760</v>
      </c>
      <c r="H146" s="674">
        <f t="shared" si="21"/>
        <v>7050.6799999999994</v>
      </c>
      <c r="I146" s="675">
        <v>0.04</v>
      </c>
      <c r="J146" s="675">
        <f t="shared" si="13"/>
        <v>282.02999999999997</v>
      </c>
      <c r="K146" s="675">
        <v>0.81</v>
      </c>
      <c r="L146" s="674">
        <f t="shared" si="14"/>
        <v>5939.5</v>
      </c>
      <c r="M146" s="741">
        <v>15</v>
      </c>
      <c r="N146" s="674">
        <f t="shared" si="15"/>
        <v>1099.9100000000001</v>
      </c>
      <c r="O146" s="741">
        <v>8</v>
      </c>
      <c r="P146" s="674">
        <f t="shared" si="16"/>
        <v>586.62</v>
      </c>
      <c r="Q146" s="741">
        <v>15</v>
      </c>
      <c r="R146" s="674">
        <f t="shared" si="17"/>
        <v>2243.81</v>
      </c>
      <c r="S146" s="742">
        <v>50</v>
      </c>
      <c r="T146" s="678">
        <f t="shared" si="18"/>
        <v>7479.37</v>
      </c>
      <c r="U146" s="679">
        <f t="shared" si="19"/>
        <v>24681.919999999998</v>
      </c>
      <c r="V146" s="678">
        <f t="shared" si="20"/>
        <v>3024.74</v>
      </c>
      <c r="W146" s="815">
        <f t="shared" si="26"/>
        <v>27706.659999999996</v>
      </c>
      <c r="X146" s="743">
        <f t="shared" si="24"/>
        <v>24104.794199999997</v>
      </c>
      <c r="Y146" s="756"/>
      <c r="Z146" s="670" t="s">
        <v>1201</v>
      </c>
      <c r="AA146" s="750">
        <f t="shared" si="23"/>
        <v>20014.5</v>
      </c>
      <c r="AB146" s="811"/>
    </row>
    <row r="147" spans="1:28" s="653" customFormat="1" ht="16.5" customHeight="1" x14ac:dyDescent="0.25">
      <c r="A147" s="1034"/>
      <c r="B147" s="737"/>
      <c r="C147" s="738" t="s">
        <v>1120</v>
      </c>
      <c r="D147" s="739">
        <v>1</v>
      </c>
      <c r="E147" s="740" t="s">
        <v>1061</v>
      </c>
      <c r="F147" s="727" t="s">
        <v>1117</v>
      </c>
      <c r="G147" s="675">
        <v>6136</v>
      </c>
      <c r="H147" s="674">
        <f t="shared" si="21"/>
        <v>6399.848</v>
      </c>
      <c r="I147" s="675">
        <v>0.03</v>
      </c>
      <c r="J147" s="675">
        <f t="shared" ref="J147:J201" si="29">ROUND((H147*I147),2)</f>
        <v>192</v>
      </c>
      <c r="K147" s="675">
        <v>0.47</v>
      </c>
      <c r="L147" s="674">
        <f t="shared" ref="L147:L201" si="30">ROUND(((H147+J147)*K147),2)</f>
        <v>3098.17</v>
      </c>
      <c r="M147" s="741">
        <v>15</v>
      </c>
      <c r="N147" s="674">
        <f t="shared" ref="N147:N201" si="31">ROUND(((H147+J147)/100*M147),2)</f>
        <v>988.78</v>
      </c>
      <c r="O147" s="741">
        <v>8</v>
      </c>
      <c r="P147" s="674">
        <f t="shared" ref="P147:P201" si="32">ROUND(((H147+J147)/100*O147),2)</f>
        <v>527.35</v>
      </c>
      <c r="Q147" s="741">
        <v>15</v>
      </c>
      <c r="R147" s="674">
        <f t="shared" ref="R147:R201" si="33">ROUND(((H147+J147+L147+N147+P147)/100*Q147),2)</f>
        <v>1680.92</v>
      </c>
      <c r="S147" s="742">
        <v>50</v>
      </c>
      <c r="T147" s="678">
        <f t="shared" ref="T147:T201" si="34">ROUND(((H147+J147+L147+N147+P147)/100*S147),2)</f>
        <v>5603.07</v>
      </c>
      <c r="U147" s="679">
        <f t="shared" ref="U147:U201" si="35">H147+J147+L147+N147+P147+R147+T147</f>
        <v>18490.137999999999</v>
      </c>
      <c r="V147" s="678">
        <f t="shared" ref="V147:V200" si="36">ROUND(((H147+J147)*0.25/100*(Q147+S147+100)),2)</f>
        <v>2719.14</v>
      </c>
      <c r="W147" s="815">
        <f>U147+V147</f>
        <v>21209.277999999998</v>
      </c>
      <c r="X147" s="743">
        <f t="shared" si="24"/>
        <v>18452.07186</v>
      </c>
      <c r="Y147" s="756"/>
      <c r="Z147" s="670" t="s">
        <v>1202</v>
      </c>
      <c r="AA147" s="750">
        <f t="shared" si="23"/>
        <v>20014.5</v>
      </c>
      <c r="AB147" s="811"/>
    </row>
    <row r="148" spans="1:28" s="653" customFormat="1" ht="16.5" customHeight="1" x14ac:dyDescent="0.25">
      <c r="A148" s="1034"/>
      <c r="B148" s="737"/>
      <c r="C148" s="738" t="s">
        <v>1120</v>
      </c>
      <c r="D148" s="739">
        <v>1</v>
      </c>
      <c r="E148" s="740" t="s">
        <v>1061</v>
      </c>
      <c r="F148" s="727" t="s">
        <v>1117</v>
      </c>
      <c r="G148" s="675">
        <v>6136</v>
      </c>
      <c r="H148" s="674">
        <f t="shared" ref="H148:H201" si="37">G148*$H$13</f>
        <v>6399.848</v>
      </c>
      <c r="I148" s="675">
        <v>0.03</v>
      </c>
      <c r="J148" s="675">
        <f t="shared" si="29"/>
        <v>192</v>
      </c>
      <c r="K148" s="675">
        <v>0.76</v>
      </c>
      <c r="L148" s="674">
        <f t="shared" si="30"/>
        <v>5009.8</v>
      </c>
      <c r="M148" s="741">
        <v>15</v>
      </c>
      <c r="N148" s="674">
        <f t="shared" si="31"/>
        <v>988.78</v>
      </c>
      <c r="O148" s="741">
        <v>8</v>
      </c>
      <c r="P148" s="674">
        <f t="shared" si="32"/>
        <v>527.35</v>
      </c>
      <c r="Q148" s="741">
        <v>15</v>
      </c>
      <c r="R148" s="674">
        <f t="shared" si="33"/>
        <v>1967.67</v>
      </c>
      <c r="S148" s="742">
        <v>50</v>
      </c>
      <c r="T148" s="678">
        <f t="shared" si="34"/>
        <v>6558.89</v>
      </c>
      <c r="U148" s="679">
        <f t="shared" si="35"/>
        <v>21644.338000000003</v>
      </c>
      <c r="V148" s="678">
        <f t="shared" si="36"/>
        <v>2719.14</v>
      </c>
      <c r="W148" s="815">
        <f>U148+V148</f>
        <v>24363.478000000003</v>
      </c>
      <c r="X148" s="743">
        <f t="shared" si="24"/>
        <v>21196.225860000002</v>
      </c>
      <c r="Y148" s="756"/>
      <c r="Z148" s="670" t="s">
        <v>1203</v>
      </c>
      <c r="AA148" s="750">
        <f t="shared" si="23"/>
        <v>20014.5</v>
      </c>
      <c r="AB148" s="811"/>
    </row>
    <row r="149" spans="1:28" s="653" customFormat="1" ht="16.5" thickBot="1" x14ac:dyDescent="0.3">
      <c r="A149" s="1035"/>
      <c r="B149" s="774"/>
      <c r="C149" s="775" t="s">
        <v>1045</v>
      </c>
      <c r="D149" s="712">
        <v>1</v>
      </c>
      <c r="E149" s="713" t="s">
        <v>1040</v>
      </c>
      <c r="F149" s="759" t="s">
        <v>1032</v>
      </c>
      <c r="G149" s="714">
        <v>4056</v>
      </c>
      <c r="H149" s="715">
        <f t="shared" si="37"/>
        <v>4230.4079999999994</v>
      </c>
      <c r="I149" s="714">
        <v>0.01</v>
      </c>
      <c r="J149" s="714">
        <f t="shared" si="29"/>
        <v>42.3</v>
      </c>
      <c r="K149" s="714">
        <v>0.45</v>
      </c>
      <c r="L149" s="715">
        <f t="shared" si="30"/>
        <v>1922.72</v>
      </c>
      <c r="M149" s="716">
        <v>15</v>
      </c>
      <c r="N149" s="715">
        <f t="shared" si="31"/>
        <v>640.91</v>
      </c>
      <c r="O149" s="716">
        <v>8</v>
      </c>
      <c r="P149" s="715">
        <f t="shared" si="32"/>
        <v>341.82</v>
      </c>
      <c r="Q149" s="716">
        <v>15</v>
      </c>
      <c r="R149" s="715">
        <f t="shared" si="33"/>
        <v>1076.72</v>
      </c>
      <c r="S149" s="717">
        <v>50</v>
      </c>
      <c r="T149" s="718">
        <f t="shared" si="34"/>
        <v>3589.08</v>
      </c>
      <c r="U149" s="719">
        <f t="shared" si="35"/>
        <v>11843.957999999999</v>
      </c>
      <c r="V149" s="718">
        <f t="shared" si="36"/>
        <v>1762.49</v>
      </c>
      <c r="W149" s="818">
        <f>U149+V149</f>
        <v>13606.447999999999</v>
      </c>
      <c r="X149" s="720">
        <f t="shared" si="24"/>
        <v>11837.609759999998</v>
      </c>
      <c r="Y149" s="721"/>
      <c r="Z149" s="829" t="s">
        <v>1204</v>
      </c>
      <c r="AA149" s="760">
        <f t="shared" si="23"/>
        <v>20014.5</v>
      </c>
      <c r="AB149" s="776">
        <f>AA149-W149</f>
        <v>6408.0520000000015</v>
      </c>
    </row>
    <row r="150" spans="1:28" s="653" customFormat="1" ht="16.5" customHeight="1" x14ac:dyDescent="0.25">
      <c r="A150" s="1031" t="s">
        <v>765</v>
      </c>
      <c r="B150" s="764"/>
      <c r="C150" s="765" t="s">
        <v>1131</v>
      </c>
      <c r="D150" s="697">
        <v>1</v>
      </c>
      <c r="E150" s="698" t="s">
        <v>1056</v>
      </c>
      <c r="F150" s="752" t="s">
        <v>1117</v>
      </c>
      <c r="G150" s="700">
        <v>9360</v>
      </c>
      <c r="H150" s="701">
        <f t="shared" si="37"/>
        <v>9762.48</v>
      </c>
      <c r="I150" s="700">
        <v>0.01</v>
      </c>
      <c r="J150" s="700">
        <f t="shared" si="29"/>
        <v>97.62</v>
      </c>
      <c r="K150" s="700">
        <v>0.75</v>
      </c>
      <c r="L150" s="701">
        <f t="shared" si="30"/>
        <v>7395.08</v>
      </c>
      <c r="M150" s="702">
        <v>15</v>
      </c>
      <c r="N150" s="701">
        <f t="shared" si="31"/>
        <v>1479.02</v>
      </c>
      <c r="O150" s="702">
        <v>4</v>
      </c>
      <c r="P150" s="701">
        <f t="shared" si="32"/>
        <v>394.4</v>
      </c>
      <c r="Q150" s="702">
        <v>15</v>
      </c>
      <c r="R150" s="701">
        <f t="shared" si="33"/>
        <v>2869.29</v>
      </c>
      <c r="S150" s="703">
        <v>50</v>
      </c>
      <c r="T150" s="704">
        <f t="shared" si="34"/>
        <v>9564.2999999999993</v>
      </c>
      <c r="U150" s="705">
        <f t="shared" si="35"/>
        <v>31562.190000000002</v>
      </c>
      <c r="V150" s="704">
        <f t="shared" si="36"/>
        <v>4067.29</v>
      </c>
      <c r="W150" s="817">
        <f t="shared" si="26"/>
        <v>35629.480000000003</v>
      </c>
      <c r="X150" s="706">
        <f t="shared" si="24"/>
        <v>30997.647600000004</v>
      </c>
      <c r="Y150" s="707"/>
      <c r="Z150" s="827" t="s">
        <v>1205</v>
      </c>
      <c r="AA150" s="746">
        <f t="shared" si="23"/>
        <v>20014.5</v>
      </c>
      <c r="AB150" s="810"/>
    </row>
    <row r="151" spans="1:28" s="653" customFormat="1" ht="16.5" customHeight="1" x14ac:dyDescent="0.25">
      <c r="A151" s="1032"/>
      <c r="B151" s="737"/>
      <c r="C151" s="738" t="s">
        <v>1133</v>
      </c>
      <c r="D151" s="739">
        <v>1</v>
      </c>
      <c r="E151" s="740" t="s">
        <v>1054</v>
      </c>
      <c r="F151" s="727" t="s">
        <v>1117</v>
      </c>
      <c r="G151" s="675">
        <v>6760</v>
      </c>
      <c r="H151" s="674">
        <f t="shared" si="37"/>
        <v>7050.6799999999994</v>
      </c>
      <c r="I151" s="675">
        <v>0.04</v>
      </c>
      <c r="J151" s="675">
        <f t="shared" si="29"/>
        <v>282.02999999999997</v>
      </c>
      <c r="K151" s="675">
        <v>0.49</v>
      </c>
      <c r="L151" s="674">
        <f t="shared" si="30"/>
        <v>3593.03</v>
      </c>
      <c r="M151" s="741">
        <v>15</v>
      </c>
      <c r="N151" s="674">
        <f t="shared" si="31"/>
        <v>1099.9100000000001</v>
      </c>
      <c r="O151" s="741">
        <v>4</v>
      </c>
      <c r="P151" s="674">
        <f t="shared" si="32"/>
        <v>293.31</v>
      </c>
      <c r="Q151" s="741">
        <v>15</v>
      </c>
      <c r="R151" s="674">
        <f t="shared" si="33"/>
        <v>1847.84</v>
      </c>
      <c r="S151" s="742">
        <v>50</v>
      </c>
      <c r="T151" s="678">
        <f t="shared" si="34"/>
        <v>6159.48</v>
      </c>
      <c r="U151" s="679">
        <f t="shared" si="35"/>
        <v>20326.28</v>
      </c>
      <c r="V151" s="678">
        <f t="shared" si="36"/>
        <v>3024.74</v>
      </c>
      <c r="W151" s="815">
        <f t="shared" si="26"/>
        <v>23351.019999999997</v>
      </c>
      <c r="X151" s="743">
        <f t="shared" si="24"/>
        <v>20315.3874</v>
      </c>
      <c r="Y151" s="756"/>
      <c r="Z151" s="670" t="s">
        <v>1206</v>
      </c>
      <c r="AA151" s="750">
        <f t="shared" si="23"/>
        <v>20014.5</v>
      </c>
      <c r="AB151" s="811"/>
    </row>
    <row r="152" spans="1:28" s="653" customFormat="1" ht="16.5" customHeight="1" x14ac:dyDescent="0.25">
      <c r="A152" s="1032"/>
      <c r="B152" s="737"/>
      <c r="C152" s="738" t="s">
        <v>1133</v>
      </c>
      <c r="D152" s="739">
        <v>1</v>
      </c>
      <c r="E152" s="740" t="s">
        <v>1054</v>
      </c>
      <c r="F152" s="727" t="s">
        <v>1117</v>
      </c>
      <c r="G152" s="675">
        <v>6760</v>
      </c>
      <c r="H152" s="674">
        <f t="shared" si="37"/>
        <v>7050.6799999999994</v>
      </c>
      <c r="I152" s="675">
        <v>0.04</v>
      </c>
      <c r="J152" s="675">
        <f t="shared" si="29"/>
        <v>282.02999999999997</v>
      </c>
      <c r="K152" s="675">
        <v>0.76</v>
      </c>
      <c r="L152" s="674">
        <f t="shared" si="30"/>
        <v>5572.86</v>
      </c>
      <c r="M152" s="741">
        <v>15</v>
      </c>
      <c r="N152" s="674">
        <f t="shared" si="31"/>
        <v>1099.9100000000001</v>
      </c>
      <c r="O152" s="741">
        <v>8</v>
      </c>
      <c r="P152" s="674">
        <f t="shared" si="32"/>
        <v>586.62</v>
      </c>
      <c r="Q152" s="741">
        <v>15</v>
      </c>
      <c r="R152" s="674">
        <f t="shared" si="33"/>
        <v>2188.8200000000002</v>
      </c>
      <c r="S152" s="742">
        <v>50</v>
      </c>
      <c r="T152" s="678">
        <f t="shared" si="34"/>
        <v>7296.05</v>
      </c>
      <c r="U152" s="679">
        <f t="shared" si="35"/>
        <v>24076.97</v>
      </c>
      <c r="V152" s="678">
        <f t="shared" si="36"/>
        <v>3024.74</v>
      </c>
      <c r="W152" s="815">
        <f t="shared" si="26"/>
        <v>27101.71</v>
      </c>
      <c r="X152" s="743">
        <f t="shared" si="24"/>
        <v>23578.487699999998</v>
      </c>
      <c r="Y152" s="756"/>
      <c r="Z152" s="670" t="s">
        <v>1207</v>
      </c>
      <c r="AA152" s="750">
        <f t="shared" si="23"/>
        <v>20014.5</v>
      </c>
      <c r="AB152" s="811"/>
    </row>
    <row r="153" spans="1:28" s="653" customFormat="1" ht="15" customHeight="1" x14ac:dyDescent="0.25">
      <c r="A153" s="1032"/>
      <c r="B153" s="737"/>
      <c r="C153" s="738" t="s">
        <v>1120</v>
      </c>
      <c r="D153" s="739">
        <v>1</v>
      </c>
      <c r="E153" s="740" t="s">
        <v>1061</v>
      </c>
      <c r="F153" s="727" t="s">
        <v>1117</v>
      </c>
      <c r="G153" s="675">
        <v>6136</v>
      </c>
      <c r="H153" s="674">
        <f t="shared" si="37"/>
        <v>6399.848</v>
      </c>
      <c r="I153" s="675">
        <v>0.03</v>
      </c>
      <c r="J153" s="675">
        <f t="shared" si="29"/>
        <v>192</v>
      </c>
      <c r="K153" s="675">
        <v>0.77</v>
      </c>
      <c r="L153" s="674">
        <f t="shared" si="30"/>
        <v>5075.72</v>
      </c>
      <c r="M153" s="741">
        <v>15</v>
      </c>
      <c r="N153" s="674">
        <f t="shared" si="31"/>
        <v>988.78</v>
      </c>
      <c r="O153" s="741">
        <v>8</v>
      </c>
      <c r="P153" s="674">
        <f t="shared" si="32"/>
        <v>527.35</v>
      </c>
      <c r="Q153" s="741">
        <v>15</v>
      </c>
      <c r="R153" s="674">
        <f t="shared" si="33"/>
        <v>1977.55</v>
      </c>
      <c r="S153" s="742">
        <v>50</v>
      </c>
      <c r="T153" s="678">
        <f t="shared" si="34"/>
        <v>6591.85</v>
      </c>
      <c r="U153" s="679">
        <f t="shared" si="35"/>
        <v>21753.097999999998</v>
      </c>
      <c r="V153" s="678">
        <f t="shared" si="36"/>
        <v>2719.14</v>
      </c>
      <c r="W153" s="815">
        <f>U153+V153</f>
        <v>24472.237999999998</v>
      </c>
      <c r="X153" s="743">
        <f t="shared" si="24"/>
        <v>21290.847059999996</v>
      </c>
      <c r="Y153" s="756"/>
      <c r="Z153" s="670" t="s">
        <v>1208</v>
      </c>
      <c r="AA153" s="750">
        <f t="shared" ref="AA153:AA201" si="38">$AB$13*$AB$15</f>
        <v>20014.5</v>
      </c>
      <c r="AB153" s="811"/>
    </row>
    <row r="154" spans="1:28" s="768" customFormat="1" ht="16.5" customHeight="1" thickBot="1" x14ac:dyDescent="0.3">
      <c r="A154" s="1033"/>
      <c r="B154" s="774"/>
      <c r="C154" s="775" t="s">
        <v>1045</v>
      </c>
      <c r="D154" s="712">
        <v>1</v>
      </c>
      <c r="E154" s="713" t="s">
        <v>1040</v>
      </c>
      <c r="F154" s="759" t="s">
        <v>1032</v>
      </c>
      <c r="G154" s="714">
        <v>4056</v>
      </c>
      <c r="H154" s="715">
        <f t="shared" si="37"/>
        <v>4230.4079999999994</v>
      </c>
      <c r="I154" s="714">
        <v>0.01</v>
      </c>
      <c r="J154" s="714">
        <f t="shared" si="29"/>
        <v>42.3</v>
      </c>
      <c r="K154" s="714">
        <v>0.38</v>
      </c>
      <c r="L154" s="715">
        <f t="shared" si="30"/>
        <v>1623.63</v>
      </c>
      <c r="M154" s="716">
        <v>15</v>
      </c>
      <c r="N154" s="715">
        <f t="shared" si="31"/>
        <v>640.91</v>
      </c>
      <c r="O154" s="716">
        <v>8</v>
      </c>
      <c r="P154" s="715">
        <f t="shared" si="32"/>
        <v>341.82</v>
      </c>
      <c r="Q154" s="716">
        <v>15</v>
      </c>
      <c r="R154" s="715">
        <f t="shared" si="33"/>
        <v>1031.8599999999999</v>
      </c>
      <c r="S154" s="717">
        <v>50</v>
      </c>
      <c r="T154" s="718">
        <f t="shared" si="34"/>
        <v>3439.53</v>
      </c>
      <c r="U154" s="719">
        <f t="shared" si="35"/>
        <v>11350.457999999999</v>
      </c>
      <c r="V154" s="718">
        <f t="shared" si="36"/>
        <v>1762.49</v>
      </c>
      <c r="W154" s="818">
        <f t="shared" si="26"/>
        <v>13112.947999999999</v>
      </c>
      <c r="X154" s="720">
        <f t="shared" si="24"/>
        <v>11408.264759999998</v>
      </c>
      <c r="Y154" s="760"/>
      <c r="Z154" s="829" t="s">
        <v>1209</v>
      </c>
      <c r="AA154" s="760">
        <f t="shared" si="38"/>
        <v>20014.5</v>
      </c>
      <c r="AB154" s="776">
        <f>AA154-W154</f>
        <v>6901.5520000000015</v>
      </c>
    </row>
    <row r="155" spans="1:28" s="653" customFormat="1" ht="16.5" customHeight="1" x14ac:dyDescent="0.25">
      <c r="A155" s="1031" t="s">
        <v>934</v>
      </c>
      <c r="B155" s="764"/>
      <c r="C155" s="765" t="s">
        <v>1131</v>
      </c>
      <c r="D155" s="697">
        <v>1</v>
      </c>
      <c r="E155" s="698" t="s">
        <v>1056</v>
      </c>
      <c r="F155" s="752" t="s">
        <v>1117</v>
      </c>
      <c r="G155" s="700">
        <v>9360</v>
      </c>
      <c r="H155" s="701">
        <f t="shared" si="37"/>
        <v>9762.48</v>
      </c>
      <c r="I155" s="700">
        <v>0.01</v>
      </c>
      <c r="J155" s="700">
        <f>ROUND((H155*I155),2)</f>
        <v>97.62</v>
      </c>
      <c r="K155" s="700">
        <v>1.07</v>
      </c>
      <c r="L155" s="701">
        <f t="shared" si="30"/>
        <v>10550.31</v>
      </c>
      <c r="M155" s="702">
        <v>15</v>
      </c>
      <c r="N155" s="701">
        <f t="shared" si="31"/>
        <v>1479.02</v>
      </c>
      <c r="O155" s="702">
        <v>4</v>
      </c>
      <c r="P155" s="701">
        <f t="shared" si="32"/>
        <v>394.4</v>
      </c>
      <c r="Q155" s="702">
        <v>15</v>
      </c>
      <c r="R155" s="701">
        <f t="shared" si="33"/>
        <v>3342.57</v>
      </c>
      <c r="S155" s="703">
        <v>50</v>
      </c>
      <c r="T155" s="704">
        <f t="shared" si="34"/>
        <v>11141.92</v>
      </c>
      <c r="U155" s="705">
        <f t="shared" si="35"/>
        <v>36768.32</v>
      </c>
      <c r="V155" s="704">
        <f t="shared" si="36"/>
        <v>4067.29</v>
      </c>
      <c r="W155" s="817">
        <f t="shared" si="26"/>
        <v>40835.61</v>
      </c>
      <c r="X155" s="706">
        <f t="shared" si="24"/>
        <v>35526.9807</v>
      </c>
      <c r="Y155" s="707"/>
      <c r="Z155" s="830" t="s">
        <v>1210</v>
      </c>
      <c r="AA155" s="746">
        <f t="shared" si="38"/>
        <v>20014.5</v>
      </c>
      <c r="AB155" s="810"/>
    </row>
    <row r="156" spans="1:28" s="653" customFormat="1" ht="16.5" customHeight="1" x14ac:dyDescent="0.25">
      <c r="A156" s="1034"/>
      <c r="B156" s="737"/>
      <c r="C156" s="738" t="s">
        <v>1139</v>
      </c>
      <c r="D156" s="739">
        <v>1</v>
      </c>
      <c r="E156" s="740" t="s">
        <v>1067</v>
      </c>
      <c r="F156" s="727" t="s">
        <v>1117</v>
      </c>
      <c r="G156" s="675">
        <v>5200</v>
      </c>
      <c r="H156" s="674">
        <f t="shared" si="37"/>
        <v>5423.5999999999995</v>
      </c>
      <c r="I156" s="675">
        <v>0.01</v>
      </c>
      <c r="J156" s="675">
        <f t="shared" si="29"/>
        <v>54.24</v>
      </c>
      <c r="K156" s="675">
        <v>0.74</v>
      </c>
      <c r="L156" s="674">
        <f t="shared" si="30"/>
        <v>4053.6</v>
      </c>
      <c r="M156" s="741">
        <v>15</v>
      </c>
      <c r="N156" s="674">
        <f t="shared" si="31"/>
        <v>821.68</v>
      </c>
      <c r="O156" s="741">
        <v>8</v>
      </c>
      <c r="P156" s="674">
        <f t="shared" si="32"/>
        <v>438.23</v>
      </c>
      <c r="Q156" s="741">
        <v>15</v>
      </c>
      <c r="R156" s="674">
        <f t="shared" si="33"/>
        <v>1618.7</v>
      </c>
      <c r="S156" s="742">
        <v>50</v>
      </c>
      <c r="T156" s="678">
        <f t="shared" si="34"/>
        <v>5395.68</v>
      </c>
      <c r="U156" s="679">
        <f t="shared" si="35"/>
        <v>17805.73</v>
      </c>
      <c r="V156" s="678">
        <f t="shared" si="36"/>
        <v>2259.61</v>
      </c>
      <c r="W156" s="815">
        <f t="shared" si="26"/>
        <v>20065.34</v>
      </c>
      <c r="X156" s="743">
        <f t="shared" si="24"/>
        <v>17456.845799999999</v>
      </c>
      <c r="Y156" s="756"/>
      <c r="Z156" s="670" t="s">
        <v>1211</v>
      </c>
      <c r="AA156" s="750">
        <f t="shared" si="38"/>
        <v>20014.5</v>
      </c>
      <c r="AB156" s="811"/>
    </row>
    <row r="157" spans="1:28" s="653" customFormat="1" ht="16.5" customHeight="1" x14ac:dyDescent="0.25">
      <c r="A157" s="1034"/>
      <c r="B157" s="737"/>
      <c r="C157" s="738" t="s">
        <v>1133</v>
      </c>
      <c r="D157" s="739">
        <v>1</v>
      </c>
      <c r="E157" s="740" t="s">
        <v>1054</v>
      </c>
      <c r="F157" s="727" t="s">
        <v>1117</v>
      </c>
      <c r="G157" s="675">
        <v>6760</v>
      </c>
      <c r="H157" s="674">
        <f t="shared" si="37"/>
        <v>7050.6799999999994</v>
      </c>
      <c r="I157" s="675">
        <v>0.04</v>
      </c>
      <c r="J157" s="675">
        <f t="shared" si="29"/>
        <v>282.02999999999997</v>
      </c>
      <c r="K157" s="675">
        <v>0.51</v>
      </c>
      <c r="L157" s="674">
        <f t="shared" si="30"/>
        <v>3739.68</v>
      </c>
      <c r="M157" s="741">
        <v>15</v>
      </c>
      <c r="N157" s="674">
        <f t="shared" si="31"/>
        <v>1099.9100000000001</v>
      </c>
      <c r="O157" s="741">
        <v>8</v>
      </c>
      <c r="P157" s="674">
        <f t="shared" si="32"/>
        <v>586.62</v>
      </c>
      <c r="Q157" s="741">
        <v>15</v>
      </c>
      <c r="R157" s="674">
        <f t="shared" si="33"/>
        <v>1913.84</v>
      </c>
      <c r="S157" s="742">
        <v>50</v>
      </c>
      <c r="T157" s="678">
        <f t="shared" si="34"/>
        <v>6379.46</v>
      </c>
      <c r="U157" s="679">
        <f t="shared" si="35"/>
        <v>21052.22</v>
      </c>
      <c r="V157" s="678">
        <f t="shared" si="36"/>
        <v>3024.74</v>
      </c>
      <c r="W157" s="815">
        <f>U157+V157</f>
        <v>24076.959999999999</v>
      </c>
      <c r="X157" s="743">
        <f t="shared" si="24"/>
        <v>20946.955200000004</v>
      </c>
      <c r="Y157" s="756"/>
      <c r="Z157" s="670" t="s">
        <v>1212</v>
      </c>
      <c r="AA157" s="750">
        <f t="shared" si="38"/>
        <v>20014.5</v>
      </c>
      <c r="AB157" s="811"/>
    </row>
    <row r="158" spans="1:28" s="653" customFormat="1" ht="16.5" customHeight="1" x14ac:dyDescent="0.25">
      <c r="A158" s="1034"/>
      <c r="B158" s="737"/>
      <c r="C158" s="738" t="s">
        <v>1139</v>
      </c>
      <c r="D158" s="739">
        <v>1</v>
      </c>
      <c r="E158" s="740" t="s">
        <v>1067</v>
      </c>
      <c r="F158" s="727" t="s">
        <v>1117</v>
      </c>
      <c r="G158" s="675">
        <v>5200</v>
      </c>
      <c r="H158" s="674">
        <f t="shared" si="37"/>
        <v>5423.5999999999995</v>
      </c>
      <c r="I158" s="675">
        <v>0.01</v>
      </c>
      <c r="J158" s="675">
        <f t="shared" si="29"/>
        <v>54.24</v>
      </c>
      <c r="K158" s="675">
        <v>0.44</v>
      </c>
      <c r="L158" s="674">
        <f t="shared" si="30"/>
        <v>2410.25</v>
      </c>
      <c r="M158" s="741">
        <v>15</v>
      </c>
      <c r="N158" s="674">
        <f t="shared" si="31"/>
        <v>821.68</v>
      </c>
      <c r="O158" s="741">
        <v>8</v>
      </c>
      <c r="P158" s="674">
        <f t="shared" si="32"/>
        <v>438.23</v>
      </c>
      <c r="Q158" s="741">
        <v>15</v>
      </c>
      <c r="R158" s="674">
        <f t="shared" si="33"/>
        <v>1372.2</v>
      </c>
      <c r="S158" s="742">
        <v>50</v>
      </c>
      <c r="T158" s="678">
        <f t="shared" si="34"/>
        <v>4574</v>
      </c>
      <c r="U158" s="679">
        <f t="shared" si="35"/>
        <v>15094.199999999999</v>
      </c>
      <c r="V158" s="678">
        <f t="shared" si="36"/>
        <v>2259.61</v>
      </c>
      <c r="W158" s="815">
        <f>U158+V158</f>
        <v>17353.809999999998</v>
      </c>
      <c r="X158" s="743">
        <f t="shared" si="24"/>
        <v>15097.814699999999</v>
      </c>
      <c r="Y158" s="756"/>
      <c r="Z158" s="670"/>
      <c r="AA158" s="750">
        <f t="shared" si="38"/>
        <v>20014.5</v>
      </c>
      <c r="AB158" s="811">
        <f>AA158-W158</f>
        <v>2660.6900000000023</v>
      </c>
    </row>
    <row r="159" spans="1:28" s="653" customFormat="1" ht="16.5" thickBot="1" x14ac:dyDescent="0.3">
      <c r="A159" s="1035"/>
      <c r="B159" s="774"/>
      <c r="C159" s="775" t="s">
        <v>1139</v>
      </c>
      <c r="D159" s="712">
        <v>1</v>
      </c>
      <c r="E159" s="713" t="s">
        <v>1067</v>
      </c>
      <c r="F159" s="759" t="s">
        <v>1117</v>
      </c>
      <c r="G159" s="714">
        <v>5200</v>
      </c>
      <c r="H159" s="715">
        <f t="shared" si="37"/>
        <v>5423.5999999999995</v>
      </c>
      <c r="I159" s="714">
        <v>0.01</v>
      </c>
      <c r="J159" s="714">
        <f t="shared" si="29"/>
        <v>54.24</v>
      </c>
      <c r="K159" s="714">
        <v>0.45</v>
      </c>
      <c r="L159" s="715">
        <f t="shared" si="30"/>
        <v>2465.0300000000002</v>
      </c>
      <c r="M159" s="716">
        <v>15</v>
      </c>
      <c r="N159" s="715">
        <f t="shared" si="31"/>
        <v>821.68</v>
      </c>
      <c r="O159" s="716">
        <v>8</v>
      </c>
      <c r="P159" s="715">
        <f t="shared" si="32"/>
        <v>438.23</v>
      </c>
      <c r="Q159" s="716">
        <v>15</v>
      </c>
      <c r="R159" s="715">
        <f t="shared" si="33"/>
        <v>1380.42</v>
      </c>
      <c r="S159" s="717">
        <v>50</v>
      </c>
      <c r="T159" s="718">
        <f t="shared" si="34"/>
        <v>4601.3900000000003</v>
      </c>
      <c r="U159" s="719">
        <f t="shared" si="35"/>
        <v>15184.59</v>
      </c>
      <c r="V159" s="718">
        <f t="shared" si="36"/>
        <v>2259.61</v>
      </c>
      <c r="W159" s="818">
        <f>U159+V159</f>
        <v>17444.2</v>
      </c>
      <c r="X159" s="720">
        <f t="shared" si="24"/>
        <v>15176.454000000002</v>
      </c>
      <c r="Y159" s="760"/>
      <c r="Z159" s="829" t="s">
        <v>1213</v>
      </c>
      <c r="AA159" s="760">
        <f t="shared" si="38"/>
        <v>20014.5</v>
      </c>
      <c r="AB159" s="776">
        <f>AA159-W159</f>
        <v>2570.2999999999993</v>
      </c>
    </row>
    <row r="160" spans="1:28" s="653" customFormat="1" ht="16.5" customHeight="1" x14ac:dyDescent="0.25">
      <c r="A160" s="1031" t="s">
        <v>919</v>
      </c>
      <c r="B160" s="764"/>
      <c r="C160" s="765" t="s">
        <v>1131</v>
      </c>
      <c r="D160" s="697">
        <v>1</v>
      </c>
      <c r="E160" s="698" t="s">
        <v>1056</v>
      </c>
      <c r="F160" s="752" t="s">
        <v>1117</v>
      </c>
      <c r="G160" s="700">
        <v>9360</v>
      </c>
      <c r="H160" s="701">
        <f t="shared" si="37"/>
        <v>9762.48</v>
      </c>
      <c r="I160" s="700">
        <v>0.01</v>
      </c>
      <c r="J160" s="700">
        <f t="shared" si="29"/>
        <v>97.62</v>
      </c>
      <c r="K160" s="700">
        <v>0.21</v>
      </c>
      <c r="L160" s="701">
        <f t="shared" si="30"/>
        <v>2070.62</v>
      </c>
      <c r="M160" s="702">
        <v>15</v>
      </c>
      <c r="N160" s="701">
        <f t="shared" si="31"/>
        <v>1479.02</v>
      </c>
      <c r="O160" s="702">
        <v>4</v>
      </c>
      <c r="P160" s="701">
        <f t="shared" si="32"/>
        <v>394.4</v>
      </c>
      <c r="Q160" s="702">
        <v>15</v>
      </c>
      <c r="R160" s="701">
        <f t="shared" si="33"/>
        <v>2070.62</v>
      </c>
      <c r="S160" s="703">
        <v>50</v>
      </c>
      <c r="T160" s="704">
        <f t="shared" si="34"/>
        <v>6902.07</v>
      </c>
      <c r="U160" s="705">
        <f t="shared" si="35"/>
        <v>22776.83</v>
      </c>
      <c r="V160" s="704">
        <f t="shared" si="36"/>
        <v>4067.29</v>
      </c>
      <c r="W160" s="817">
        <f t="shared" si="26"/>
        <v>26844.120000000003</v>
      </c>
      <c r="X160" s="706">
        <f t="shared" si="24"/>
        <v>23354.384400000003</v>
      </c>
      <c r="Y160" s="707"/>
      <c r="Z160" s="827" t="s">
        <v>1214</v>
      </c>
      <c r="AA160" s="746">
        <f t="shared" si="38"/>
        <v>20014.5</v>
      </c>
      <c r="AB160" s="810"/>
    </row>
    <row r="161" spans="1:28" s="653" customFormat="1" ht="16.5" customHeight="1" x14ac:dyDescent="0.25">
      <c r="A161" s="1034"/>
      <c r="B161" s="737"/>
      <c r="C161" s="738" t="s">
        <v>1120</v>
      </c>
      <c r="D161" s="739">
        <v>1</v>
      </c>
      <c r="E161" s="740" t="s">
        <v>1061</v>
      </c>
      <c r="F161" s="727" t="s">
        <v>1117</v>
      </c>
      <c r="G161" s="675">
        <v>6136</v>
      </c>
      <c r="H161" s="674">
        <f t="shared" si="37"/>
        <v>6399.848</v>
      </c>
      <c r="I161" s="675">
        <v>0.03</v>
      </c>
      <c r="J161" s="675">
        <f t="shared" si="29"/>
        <v>192</v>
      </c>
      <c r="K161" s="675">
        <v>0.38</v>
      </c>
      <c r="L161" s="674">
        <f t="shared" si="30"/>
        <v>2504.9</v>
      </c>
      <c r="M161" s="741">
        <v>15</v>
      </c>
      <c r="N161" s="674">
        <f t="shared" si="31"/>
        <v>988.78</v>
      </c>
      <c r="O161" s="741">
        <v>8</v>
      </c>
      <c r="P161" s="674">
        <f t="shared" si="32"/>
        <v>527.35</v>
      </c>
      <c r="Q161" s="741">
        <v>15</v>
      </c>
      <c r="R161" s="674">
        <f t="shared" si="33"/>
        <v>1591.93</v>
      </c>
      <c r="S161" s="742">
        <v>50</v>
      </c>
      <c r="T161" s="678">
        <f t="shared" si="34"/>
        <v>5306.44</v>
      </c>
      <c r="U161" s="679">
        <f t="shared" si="35"/>
        <v>17511.248</v>
      </c>
      <c r="V161" s="678">
        <f t="shared" si="36"/>
        <v>2719.14</v>
      </c>
      <c r="W161" s="815">
        <f t="shared" si="26"/>
        <v>20230.387999999999</v>
      </c>
      <c r="X161" s="743">
        <f t="shared" si="24"/>
        <v>17600.437559999998</v>
      </c>
      <c r="Y161" s="756"/>
      <c r="Z161" s="670" t="s">
        <v>1215</v>
      </c>
      <c r="AA161" s="750">
        <f t="shared" si="38"/>
        <v>20014.5</v>
      </c>
      <c r="AB161" s="811"/>
    </row>
    <row r="162" spans="1:28" s="653" customFormat="1" ht="16.5" customHeight="1" x14ac:dyDescent="0.25">
      <c r="A162" s="1034"/>
      <c r="B162" s="737"/>
      <c r="C162" s="738" t="s">
        <v>1139</v>
      </c>
      <c r="D162" s="739">
        <v>1</v>
      </c>
      <c r="E162" s="740" t="s">
        <v>1067</v>
      </c>
      <c r="F162" s="727" t="s">
        <v>1117</v>
      </c>
      <c r="G162" s="675">
        <v>5200</v>
      </c>
      <c r="H162" s="674">
        <f t="shared" si="37"/>
        <v>5423.5999999999995</v>
      </c>
      <c r="I162" s="675">
        <v>0.01</v>
      </c>
      <c r="J162" s="675">
        <f t="shared" si="29"/>
        <v>54.24</v>
      </c>
      <c r="K162" s="675">
        <v>1.0900000000000001</v>
      </c>
      <c r="L162" s="674">
        <f t="shared" si="30"/>
        <v>5970.85</v>
      </c>
      <c r="M162" s="741">
        <v>15</v>
      </c>
      <c r="N162" s="674">
        <f t="shared" si="31"/>
        <v>821.68</v>
      </c>
      <c r="O162" s="741">
        <v>8</v>
      </c>
      <c r="P162" s="674">
        <f t="shared" si="32"/>
        <v>438.23</v>
      </c>
      <c r="Q162" s="741">
        <v>15</v>
      </c>
      <c r="R162" s="674">
        <f t="shared" si="33"/>
        <v>1906.29</v>
      </c>
      <c r="S162" s="742">
        <v>50</v>
      </c>
      <c r="T162" s="678">
        <f t="shared" si="34"/>
        <v>6354.3</v>
      </c>
      <c r="U162" s="679">
        <f t="shared" si="35"/>
        <v>20969.189999999999</v>
      </c>
      <c r="V162" s="678">
        <f t="shared" si="36"/>
        <v>2259.61</v>
      </c>
      <c r="W162" s="815">
        <f t="shared" si="26"/>
        <v>23228.799999999999</v>
      </c>
      <c r="X162" s="743">
        <f t="shared" si="24"/>
        <v>20209.056</v>
      </c>
      <c r="Y162" s="750"/>
      <c r="Z162" s="670"/>
      <c r="AA162" s="750">
        <f t="shared" si="38"/>
        <v>20014.5</v>
      </c>
      <c r="AB162" s="811"/>
    </row>
    <row r="163" spans="1:28" s="768" customFormat="1" ht="16.5" customHeight="1" thickBot="1" x14ac:dyDescent="0.3">
      <c r="A163" s="1035"/>
      <c r="B163" s="774"/>
      <c r="C163" s="775" t="s">
        <v>1045</v>
      </c>
      <c r="D163" s="712">
        <v>1</v>
      </c>
      <c r="E163" s="713" t="s">
        <v>1040</v>
      </c>
      <c r="F163" s="759" t="s">
        <v>1032</v>
      </c>
      <c r="G163" s="714">
        <v>4056</v>
      </c>
      <c r="H163" s="715">
        <f t="shared" si="37"/>
        <v>4230.4079999999994</v>
      </c>
      <c r="I163" s="714">
        <v>0.01</v>
      </c>
      <c r="J163" s="714">
        <f t="shared" si="29"/>
        <v>42.3</v>
      </c>
      <c r="K163" s="714">
        <v>0.81</v>
      </c>
      <c r="L163" s="715">
        <f t="shared" si="30"/>
        <v>3460.89</v>
      </c>
      <c r="M163" s="716">
        <v>15</v>
      </c>
      <c r="N163" s="715">
        <f t="shared" si="31"/>
        <v>640.91</v>
      </c>
      <c r="O163" s="716">
        <v>8</v>
      </c>
      <c r="P163" s="715">
        <f t="shared" si="32"/>
        <v>341.82</v>
      </c>
      <c r="Q163" s="716">
        <v>15</v>
      </c>
      <c r="R163" s="715">
        <f t="shared" si="33"/>
        <v>1307.45</v>
      </c>
      <c r="S163" s="717">
        <v>50</v>
      </c>
      <c r="T163" s="718">
        <f t="shared" si="34"/>
        <v>4358.16</v>
      </c>
      <c r="U163" s="719">
        <f t="shared" si="35"/>
        <v>14381.938</v>
      </c>
      <c r="V163" s="718">
        <f t="shared" si="36"/>
        <v>1762.49</v>
      </c>
      <c r="W163" s="818">
        <f t="shared" si="26"/>
        <v>16144.428</v>
      </c>
      <c r="X163" s="720">
        <f t="shared" si="24"/>
        <v>14045.65236</v>
      </c>
      <c r="Y163" s="760"/>
      <c r="Z163" s="829" t="s">
        <v>1216</v>
      </c>
      <c r="AA163" s="760">
        <f t="shared" si="38"/>
        <v>20014.5</v>
      </c>
      <c r="AB163" s="776">
        <f>AA163-W163</f>
        <v>3870.0720000000001</v>
      </c>
    </row>
    <row r="164" spans="1:28" s="653" customFormat="1" ht="16.5" customHeight="1" x14ac:dyDescent="0.25">
      <c r="A164" s="1031" t="s">
        <v>840</v>
      </c>
      <c r="B164" s="764"/>
      <c r="C164" s="765" t="s">
        <v>1217</v>
      </c>
      <c r="D164" s="697">
        <v>1</v>
      </c>
      <c r="E164" s="698" t="s">
        <v>1056</v>
      </c>
      <c r="F164" s="752" t="s">
        <v>1117</v>
      </c>
      <c r="G164" s="700">
        <v>9360</v>
      </c>
      <c r="H164" s="701">
        <f t="shared" si="37"/>
        <v>9762.48</v>
      </c>
      <c r="I164" s="700">
        <v>0.01</v>
      </c>
      <c r="J164" s="700">
        <f t="shared" si="29"/>
        <v>97.62</v>
      </c>
      <c r="K164" s="700">
        <v>0.68</v>
      </c>
      <c r="L164" s="701">
        <f t="shared" si="30"/>
        <v>6704.87</v>
      </c>
      <c r="M164" s="702">
        <v>15</v>
      </c>
      <c r="N164" s="701">
        <f t="shared" si="31"/>
        <v>1479.02</v>
      </c>
      <c r="O164" s="702">
        <v>4</v>
      </c>
      <c r="P164" s="701">
        <f t="shared" si="32"/>
        <v>394.4</v>
      </c>
      <c r="Q164" s="702">
        <v>15</v>
      </c>
      <c r="R164" s="701">
        <f t="shared" si="33"/>
        <v>2765.76</v>
      </c>
      <c r="S164" s="703">
        <v>50</v>
      </c>
      <c r="T164" s="704">
        <f t="shared" si="34"/>
        <v>9219.2000000000007</v>
      </c>
      <c r="U164" s="705">
        <f t="shared" si="35"/>
        <v>30423.350000000002</v>
      </c>
      <c r="V164" s="704">
        <f t="shared" si="36"/>
        <v>4067.29</v>
      </c>
      <c r="W164" s="817">
        <f t="shared" si="26"/>
        <v>34490.639999999999</v>
      </c>
      <c r="X164" s="706">
        <f t="shared" si="24"/>
        <v>30006.856800000001</v>
      </c>
      <c r="Y164" s="707"/>
      <c r="Z164" s="827" t="s">
        <v>1218</v>
      </c>
      <c r="AA164" s="746">
        <f t="shared" si="38"/>
        <v>20014.5</v>
      </c>
      <c r="AB164" s="810"/>
    </row>
    <row r="165" spans="1:28" s="653" customFormat="1" ht="16.5" customHeight="1" x14ac:dyDescent="0.25">
      <c r="A165" s="1034"/>
      <c r="B165" s="737"/>
      <c r="C165" s="738" t="s">
        <v>1133</v>
      </c>
      <c r="D165" s="739">
        <v>1</v>
      </c>
      <c r="E165" s="740" t="s">
        <v>1088</v>
      </c>
      <c r="F165" s="727" t="s">
        <v>1117</v>
      </c>
      <c r="G165" s="675">
        <v>6760</v>
      </c>
      <c r="H165" s="674">
        <f t="shared" si="37"/>
        <v>7050.6799999999994</v>
      </c>
      <c r="I165" s="675">
        <v>0.04</v>
      </c>
      <c r="J165" s="675">
        <f t="shared" si="29"/>
        <v>282.02999999999997</v>
      </c>
      <c r="K165" s="675">
        <v>1.2</v>
      </c>
      <c r="L165" s="674">
        <f t="shared" si="30"/>
        <v>8799.25</v>
      </c>
      <c r="M165" s="741">
        <v>15</v>
      </c>
      <c r="N165" s="674">
        <f t="shared" si="31"/>
        <v>1099.9100000000001</v>
      </c>
      <c r="O165" s="741">
        <v>8</v>
      </c>
      <c r="P165" s="674">
        <f t="shared" si="32"/>
        <v>586.62</v>
      </c>
      <c r="Q165" s="741">
        <v>15</v>
      </c>
      <c r="R165" s="674">
        <f t="shared" si="33"/>
        <v>2672.77</v>
      </c>
      <c r="S165" s="742">
        <v>50</v>
      </c>
      <c r="T165" s="678">
        <f t="shared" si="34"/>
        <v>8909.25</v>
      </c>
      <c r="U165" s="679">
        <f t="shared" si="35"/>
        <v>29400.51</v>
      </c>
      <c r="V165" s="678">
        <f t="shared" si="36"/>
        <v>3024.74</v>
      </c>
      <c r="W165" s="815">
        <f t="shared" si="26"/>
        <v>32425.25</v>
      </c>
      <c r="X165" s="743">
        <f t="shared" si="24"/>
        <v>28209.967499999999</v>
      </c>
      <c r="Y165" s="756"/>
      <c r="Z165" s="778" t="s">
        <v>1219</v>
      </c>
      <c r="AA165" s="750">
        <f t="shared" si="38"/>
        <v>20014.5</v>
      </c>
      <c r="AB165" s="811"/>
    </row>
    <row r="166" spans="1:28" s="653" customFormat="1" ht="16.5" customHeight="1" x14ac:dyDescent="0.25">
      <c r="A166" s="1034"/>
      <c r="B166" s="737"/>
      <c r="C166" s="738" t="s">
        <v>1120</v>
      </c>
      <c r="D166" s="739">
        <v>1</v>
      </c>
      <c r="E166" s="740" t="s">
        <v>1220</v>
      </c>
      <c r="F166" s="727" t="s">
        <v>1117</v>
      </c>
      <c r="G166" s="675">
        <v>6136</v>
      </c>
      <c r="H166" s="674">
        <f t="shared" si="37"/>
        <v>6399.848</v>
      </c>
      <c r="I166" s="675">
        <v>0.03</v>
      </c>
      <c r="J166" s="675">
        <f t="shared" si="29"/>
        <v>192</v>
      </c>
      <c r="K166" s="675">
        <v>0.52</v>
      </c>
      <c r="L166" s="674">
        <f t="shared" si="30"/>
        <v>3427.76</v>
      </c>
      <c r="M166" s="741">
        <v>15</v>
      </c>
      <c r="N166" s="674">
        <f t="shared" si="31"/>
        <v>988.78</v>
      </c>
      <c r="O166" s="741">
        <v>8</v>
      </c>
      <c r="P166" s="674">
        <f t="shared" si="32"/>
        <v>527.35</v>
      </c>
      <c r="Q166" s="741">
        <v>15</v>
      </c>
      <c r="R166" s="674">
        <f t="shared" si="33"/>
        <v>1730.36</v>
      </c>
      <c r="S166" s="742">
        <v>50</v>
      </c>
      <c r="T166" s="678">
        <f t="shared" si="34"/>
        <v>5767.87</v>
      </c>
      <c r="U166" s="679">
        <f t="shared" si="35"/>
        <v>19033.968000000001</v>
      </c>
      <c r="V166" s="678">
        <f t="shared" si="36"/>
        <v>2719.14</v>
      </c>
      <c r="W166" s="815">
        <f t="shared" si="26"/>
        <v>21753.108</v>
      </c>
      <c r="X166" s="743">
        <f t="shared" ref="X166:X201" si="39">-W166*13/100+U166+V166</f>
        <v>18925.203960000003</v>
      </c>
      <c r="Y166" s="750"/>
      <c r="Z166" s="670" t="s">
        <v>1221</v>
      </c>
      <c r="AA166" s="750">
        <f t="shared" si="38"/>
        <v>20014.5</v>
      </c>
      <c r="AB166" s="811"/>
    </row>
    <row r="167" spans="1:28" s="653" customFormat="1" ht="16.5" customHeight="1" x14ac:dyDescent="0.25">
      <c r="A167" s="1034"/>
      <c r="B167" s="737"/>
      <c r="C167" s="738" t="s">
        <v>1120</v>
      </c>
      <c r="D167" s="739">
        <v>1</v>
      </c>
      <c r="E167" s="740" t="s">
        <v>1220</v>
      </c>
      <c r="F167" s="727" t="s">
        <v>1117</v>
      </c>
      <c r="G167" s="675">
        <v>6136</v>
      </c>
      <c r="H167" s="674">
        <f t="shared" si="37"/>
        <v>6399.848</v>
      </c>
      <c r="I167" s="675">
        <v>0.03</v>
      </c>
      <c r="J167" s="675">
        <f t="shared" si="29"/>
        <v>192</v>
      </c>
      <c r="K167" s="675">
        <v>0.28999999999999998</v>
      </c>
      <c r="L167" s="674">
        <f t="shared" si="30"/>
        <v>1911.64</v>
      </c>
      <c r="M167" s="741">
        <v>15</v>
      </c>
      <c r="N167" s="674">
        <f t="shared" si="31"/>
        <v>988.78</v>
      </c>
      <c r="O167" s="741">
        <v>8</v>
      </c>
      <c r="P167" s="674">
        <f t="shared" si="32"/>
        <v>527.35</v>
      </c>
      <c r="Q167" s="741">
        <v>15</v>
      </c>
      <c r="R167" s="674">
        <f t="shared" si="33"/>
        <v>1502.94</v>
      </c>
      <c r="S167" s="742">
        <v>50</v>
      </c>
      <c r="T167" s="678">
        <f t="shared" si="34"/>
        <v>5009.8100000000004</v>
      </c>
      <c r="U167" s="679">
        <f t="shared" si="35"/>
        <v>16532.368000000002</v>
      </c>
      <c r="V167" s="678">
        <f t="shared" si="36"/>
        <v>2719.14</v>
      </c>
      <c r="W167" s="815">
        <f t="shared" si="26"/>
        <v>19251.508000000002</v>
      </c>
      <c r="X167" s="743">
        <f t="shared" si="39"/>
        <v>16748.811960000003</v>
      </c>
      <c r="Y167" s="750"/>
      <c r="Z167" s="670" t="s">
        <v>1218</v>
      </c>
      <c r="AA167" s="750">
        <f t="shared" si="38"/>
        <v>20014.5</v>
      </c>
      <c r="AB167" s="811">
        <f>AA167-W167</f>
        <v>762.99199999999837</v>
      </c>
    </row>
    <row r="168" spans="1:28" s="653" customFormat="1" ht="16.5" thickBot="1" x14ac:dyDescent="0.3">
      <c r="A168" s="1035"/>
      <c r="B168" s="774"/>
      <c r="C168" s="775" t="s">
        <v>1045</v>
      </c>
      <c r="D168" s="712">
        <v>1</v>
      </c>
      <c r="E168" s="713" t="s">
        <v>1040</v>
      </c>
      <c r="F168" s="759" t="s">
        <v>1032</v>
      </c>
      <c r="G168" s="714">
        <v>4056</v>
      </c>
      <c r="H168" s="715">
        <f t="shared" si="37"/>
        <v>4230.4079999999994</v>
      </c>
      <c r="I168" s="714">
        <v>0.01</v>
      </c>
      <c r="J168" s="714">
        <f t="shared" si="29"/>
        <v>42.3</v>
      </c>
      <c r="K168" s="714">
        <v>0.83</v>
      </c>
      <c r="L168" s="715">
        <f t="shared" si="30"/>
        <v>3546.35</v>
      </c>
      <c r="M168" s="716">
        <v>15</v>
      </c>
      <c r="N168" s="715">
        <f t="shared" si="31"/>
        <v>640.91</v>
      </c>
      <c r="O168" s="716">
        <v>8</v>
      </c>
      <c r="P168" s="715">
        <f t="shared" si="32"/>
        <v>341.82</v>
      </c>
      <c r="Q168" s="716">
        <v>15</v>
      </c>
      <c r="R168" s="715">
        <f t="shared" si="33"/>
        <v>1320.27</v>
      </c>
      <c r="S168" s="717">
        <v>50</v>
      </c>
      <c r="T168" s="718">
        <f t="shared" si="34"/>
        <v>4400.8900000000003</v>
      </c>
      <c r="U168" s="719">
        <f t="shared" si="35"/>
        <v>14522.948</v>
      </c>
      <c r="V168" s="718">
        <f t="shared" si="36"/>
        <v>1762.49</v>
      </c>
      <c r="W168" s="818">
        <f t="shared" si="26"/>
        <v>16285.438</v>
      </c>
      <c r="X168" s="720">
        <f t="shared" si="39"/>
        <v>14168.33106</v>
      </c>
      <c r="Y168" s="760"/>
      <c r="Z168" s="829" t="s">
        <v>1222</v>
      </c>
      <c r="AA168" s="760">
        <f t="shared" si="38"/>
        <v>20014.5</v>
      </c>
      <c r="AB168" s="776">
        <f>AA168-W168</f>
        <v>3729.0619999999999</v>
      </c>
    </row>
    <row r="169" spans="1:28" s="653" customFormat="1" ht="16.5" customHeight="1" x14ac:dyDescent="0.25">
      <c r="A169" s="1031" t="s">
        <v>858</v>
      </c>
      <c r="B169" s="764"/>
      <c r="C169" s="765" t="s">
        <v>1128</v>
      </c>
      <c r="D169" s="697">
        <v>1</v>
      </c>
      <c r="E169" s="698" t="s">
        <v>1129</v>
      </c>
      <c r="F169" s="752" t="s">
        <v>1117</v>
      </c>
      <c r="G169" s="700">
        <v>12792</v>
      </c>
      <c r="H169" s="701">
        <f t="shared" si="37"/>
        <v>13342.055999999999</v>
      </c>
      <c r="I169" s="700">
        <v>0.03</v>
      </c>
      <c r="J169" s="700">
        <f t="shared" si="29"/>
        <v>400.26</v>
      </c>
      <c r="K169" s="700">
        <v>0.25</v>
      </c>
      <c r="L169" s="701">
        <f t="shared" si="30"/>
        <v>3435.58</v>
      </c>
      <c r="M169" s="702">
        <v>15</v>
      </c>
      <c r="N169" s="701">
        <f t="shared" si="31"/>
        <v>2061.35</v>
      </c>
      <c r="O169" s="702">
        <v>4</v>
      </c>
      <c r="P169" s="701">
        <f t="shared" si="32"/>
        <v>549.69000000000005</v>
      </c>
      <c r="Q169" s="702">
        <v>15</v>
      </c>
      <c r="R169" s="701">
        <f t="shared" si="33"/>
        <v>2968.34</v>
      </c>
      <c r="S169" s="703">
        <v>50</v>
      </c>
      <c r="T169" s="704">
        <f t="shared" si="34"/>
        <v>9894.4699999999993</v>
      </c>
      <c r="U169" s="705">
        <f t="shared" si="35"/>
        <v>32651.745999999999</v>
      </c>
      <c r="V169" s="704">
        <f t="shared" si="36"/>
        <v>5668.71</v>
      </c>
      <c r="W169" s="817">
        <f t="shared" si="26"/>
        <v>38320.455999999998</v>
      </c>
      <c r="X169" s="706">
        <f t="shared" si="39"/>
        <v>33338.796719999998</v>
      </c>
      <c r="Y169" s="707"/>
      <c r="Z169" s="827" t="s">
        <v>1223</v>
      </c>
      <c r="AA169" s="746">
        <f t="shared" si="38"/>
        <v>20014.5</v>
      </c>
      <c r="AB169" s="810"/>
    </row>
    <row r="170" spans="1:28" s="653" customFormat="1" ht="16.5" customHeight="1" x14ac:dyDescent="0.25">
      <c r="A170" s="1034"/>
      <c r="B170" s="737"/>
      <c r="C170" s="738" t="s">
        <v>1133</v>
      </c>
      <c r="D170" s="739">
        <v>1</v>
      </c>
      <c r="E170" s="740" t="s">
        <v>1054</v>
      </c>
      <c r="F170" s="727" t="s">
        <v>1117</v>
      </c>
      <c r="G170" s="675">
        <v>6760</v>
      </c>
      <c r="H170" s="674">
        <f t="shared" si="37"/>
        <v>7050.6799999999994</v>
      </c>
      <c r="I170" s="675">
        <v>0.04</v>
      </c>
      <c r="J170" s="675">
        <f t="shared" si="29"/>
        <v>282.02999999999997</v>
      </c>
      <c r="K170" s="675">
        <v>0.86</v>
      </c>
      <c r="L170" s="674">
        <f t="shared" si="30"/>
        <v>6306.13</v>
      </c>
      <c r="M170" s="741">
        <v>15</v>
      </c>
      <c r="N170" s="674">
        <f t="shared" si="31"/>
        <v>1099.9100000000001</v>
      </c>
      <c r="O170" s="741">
        <v>8</v>
      </c>
      <c r="P170" s="674">
        <f t="shared" si="32"/>
        <v>586.62</v>
      </c>
      <c r="Q170" s="741">
        <v>15</v>
      </c>
      <c r="R170" s="674">
        <f t="shared" si="33"/>
        <v>2298.81</v>
      </c>
      <c r="S170" s="742">
        <v>50</v>
      </c>
      <c r="T170" s="678">
        <f t="shared" si="34"/>
        <v>7662.69</v>
      </c>
      <c r="U170" s="679">
        <f t="shared" si="35"/>
        <v>25286.87</v>
      </c>
      <c r="V170" s="678">
        <f t="shared" si="36"/>
        <v>3024.74</v>
      </c>
      <c r="W170" s="815">
        <f t="shared" si="26"/>
        <v>28311.61</v>
      </c>
      <c r="X170" s="743">
        <f t="shared" si="39"/>
        <v>24631.100699999995</v>
      </c>
      <c r="Y170" s="756"/>
      <c r="Z170" s="670" t="s">
        <v>1224</v>
      </c>
      <c r="AA170" s="750">
        <f t="shared" si="38"/>
        <v>20014.5</v>
      </c>
      <c r="AB170" s="811"/>
    </row>
    <row r="171" spans="1:28" s="653" customFormat="1" ht="16.5" customHeight="1" x14ac:dyDescent="0.25">
      <c r="A171" s="1034"/>
      <c r="B171" s="737"/>
      <c r="C171" s="738" t="s">
        <v>1133</v>
      </c>
      <c r="D171" s="739">
        <v>1</v>
      </c>
      <c r="E171" s="740" t="s">
        <v>1054</v>
      </c>
      <c r="F171" s="727" t="s">
        <v>1117</v>
      </c>
      <c r="G171" s="675">
        <v>6760</v>
      </c>
      <c r="H171" s="674">
        <f t="shared" si="37"/>
        <v>7050.6799999999994</v>
      </c>
      <c r="I171" s="675">
        <v>0.04</v>
      </c>
      <c r="J171" s="675">
        <f t="shared" si="29"/>
        <v>282.02999999999997</v>
      </c>
      <c r="K171" s="675">
        <v>0.76</v>
      </c>
      <c r="L171" s="674">
        <f t="shared" si="30"/>
        <v>5572.86</v>
      </c>
      <c r="M171" s="741">
        <v>15</v>
      </c>
      <c r="N171" s="674">
        <f t="shared" si="31"/>
        <v>1099.9100000000001</v>
      </c>
      <c r="O171" s="741">
        <v>8</v>
      </c>
      <c r="P171" s="674">
        <f t="shared" si="32"/>
        <v>586.62</v>
      </c>
      <c r="Q171" s="741">
        <v>15</v>
      </c>
      <c r="R171" s="674">
        <f t="shared" si="33"/>
        <v>2188.8200000000002</v>
      </c>
      <c r="S171" s="742">
        <v>50</v>
      </c>
      <c r="T171" s="678">
        <f t="shared" si="34"/>
        <v>7296.05</v>
      </c>
      <c r="U171" s="679">
        <f t="shared" si="35"/>
        <v>24076.97</v>
      </c>
      <c r="V171" s="678">
        <f t="shared" si="36"/>
        <v>3024.74</v>
      </c>
      <c r="W171" s="815">
        <f t="shared" si="26"/>
        <v>27101.71</v>
      </c>
      <c r="X171" s="743">
        <f t="shared" si="39"/>
        <v>23578.487699999998</v>
      </c>
      <c r="Y171" s="756"/>
      <c r="Z171" s="778" t="s">
        <v>1225</v>
      </c>
      <c r="AA171" s="750">
        <f t="shared" si="38"/>
        <v>20014.5</v>
      </c>
      <c r="AB171" s="811"/>
    </row>
    <row r="172" spans="1:28" s="653" customFormat="1" ht="16.5" customHeight="1" x14ac:dyDescent="0.25">
      <c r="A172" s="1034"/>
      <c r="B172" s="737"/>
      <c r="C172" s="738" t="s">
        <v>1120</v>
      </c>
      <c r="D172" s="739">
        <v>1</v>
      </c>
      <c r="E172" s="740" t="s">
        <v>1061</v>
      </c>
      <c r="F172" s="727" t="s">
        <v>1117</v>
      </c>
      <c r="G172" s="675">
        <v>6136</v>
      </c>
      <c r="H172" s="674">
        <f t="shared" si="37"/>
        <v>6399.848</v>
      </c>
      <c r="I172" s="675">
        <v>0.03</v>
      </c>
      <c r="J172" s="675">
        <f t="shared" si="29"/>
        <v>192</v>
      </c>
      <c r="K172" s="675">
        <v>0.47</v>
      </c>
      <c r="L172" s="674">
        <f t="shared" si="30"/>
        <v>3098.17</v>
      </c>
      <c r="M172" s="741">
        <v>15</v>
      </c>
      <c r="N172" s="674">
        <f>ROUND(((H172+J172)/100*M172),2)</f>
        <v>988.78</v>
      </c>
      <c r="O172" s="741">
        <v>8</v>
      </c>
      <c r="P172" s="674">
        <f t="shared" si="32"/>
        <v>527.35</v>
      </c>
      <c r="Q172" s="741">
        <v>15</v>
      </c>
      <c r="R172" s="674">
        <f t="shared" si="33"/>
        <v>1680.92</v>
      </c>
      <c r="S172" s="742">
        <v>50</v>
      </c>
      <c r="T172" s="678">
        <f t="shared" si="34"/>
        <v>5603.07</v>
      </c>
      <c r="U172" s="679">
        <f t="shared" si="35"/>
        <v>18490.137999999999</v>
      </c>
      <c r="V172" s="678">
        <f t="shared" si="36"/>
        <v>2719.14</v>
      </c>
      <c r="W172" s="815">
        <f t="shared" si="26"/>
        <v>21209.277999999998</v>
      </c>
      <c r="X172" s="743">
        <f t="shared" si="39"/>
        <v>18452.07186</v>
      </c>
      <c r="Y172" s="756"/>
      <c r="Z172" s="670" t="s">
        <v>1226</v>
      </c>
      <c r="AA172" s="750">
        <f t="shared" si="38"/>
        <v>20014.5</v>
      </c>
      <c r="AB172" s="811"/>
    </row>
    <row r="173" spans="1:28" s="653" customFormat="1" ht="16.5" customHeight="1" x14ac:dyDescent="0.25">
      <c r="A173" s="1034"/>
      <c r="B173" s="737"/>
      <c r="C173" s="738" t="s">
        <v>1139</v>
      </c>
      <c r="D173" s="739">
        <v>1</v>
      </c>
      <c r="E173" s="740" t="s">
        <v>1067</v>
      </c>
      <c r="F173" s="727" t="s">
        <v>1117</v>
      </c>
      <c r="G173" s="675">
        <v>5200</v>
      </c>
      <c r="H173" s="674">
        <f t="shared" si="37"/>
        <v>5423.5999999999995</v>
      </c>
      <c r="I173" s="675">
        <v>0.01</v>
      </c>
      <c r="J173" s="675">
        <f t="shared" si="29"/>
        <v>54.24</v>
      </c>
      <c r="K173" s="675">
        <v>0.8</v>
      </c>
      <c r="L173" s="674">
        <f t="shared" si="30"/>
        <v>4382.2700000000004</v>
      </c>
      <c r="M173" s="741">
        <v>15</v>
      </c>
      <c r="N173" s="674">
        <f t="shared" si="31"/>
        <v>821.68</v>
      </c>
      <c r="O173" s="741">
        <v>8</v>
      </c>
      <c r="P173" s="674">
        <f t="shared" si="32"/>
        <v>438.23</v>
      </c>
      <c r="Q173" s="741">
        <v>15</v>
      </c>
      <c r="R173" s="674">
        <f t="shared" si="33"/>
        <v>1668</v>
      </c>
      <c r="S173" s="742">
        <v>50</v>
      </c>
      <c r="T173" s="678">
        <f t="shared" si="34"/>
        <v>5560.01</v>
      </c>
      <c r="U173" s="679">
        <f t="shared" si="35"/>
        <v>18348.03</v>
      </c>
      <c r="V173" s="678">
        <f t="shared" si="36"/>
        <v>2259.61</v>
      </c>
      <c r="W173" s="815">
        <f t="shared" si="26"/>
        <v>20607.64</v>
      </c>
      <c r="X173" s="743">
        <f t="shared" si="39"/>
        <v>17928.646799999999</v>
      </c>
      <c r="Y173" s="750"/>
      <c r="Z173" s="670" t="s">
        <v>1227</v>
      </c>
      <c r="AA173" s="750">
        <f t="shared" si="38"/>
        <v>20014.5</v>
      </c>
      <c r="AB173" s="811"/>
    </row>
    <row r="174" spans="1:28" s="646" customFormat="1" ht="16.5" customHeight="1" thickBot="1" x14ac:dyDescent="0.3">
      <c r="A174" s="1035"/>
      <c r="B174" s="828"/>
      <c r="C174" s="775" t="s">
        <v>1045</v>
      </c>
      <c r="D174" s="712">
        <v>1</v>
      </c>
      <c r="E174" s="713" t="s">
        <v>1040</v>
      </c>
      <c r="F174" s="759" t="s">
        <v>1032</v>
      </c>
      <c r="G174" s="714">
        <v>4056</v>
      </c>
      <c r="H174" s="715">
        <f t="shared" si="37"/>
        <v>4230.4079999999994</v>
      </c>
      <c r="I174" s="714">
        <v>0.01</v>
      </c>
      <c r="J174" s="714">
        <f t="shared" si="29"/>
        <v>42.3</v>
      </c>
      <c r="K174" s="714">
        <v>0.47</v>
      </c>
      <c r="L174" s="715">
        <f t="shared" si="30"/>
        <v>2008.17</v>
      </c>
      <c r="M174" s="716">
        <v>15</v>
      </c>
      <c r="N174" s="715">
        <f t="shared" si="31"/>
        <v>640.91</v>
      </c>
      <c r="O174" s="716">
        <v>8</v>
      </c>
      <c r="P174" s="715">
        <f t="shared" si="32"/>
        <v>341.82</v>
      </c>
      <c r="Q174" s="716">
        <v>15</v>
      </c>
      <c r="R174" s="715">
        <f t="shared" si="33"/>
        <v>1089.54</v>
      </c>
      <c r="S174" s="717">
        <v>50</v>
      </c>
      <c r="T174" s="718">
        <f t="shared" si="34"/>
        <v>3631.8</v>
      </c>
      <c r="U174" s="719">
        <f t="shared" si="35"/>
        <v>11984.948</v>
      </c>
      <c r="V174" s="718">
        <f t="shared" si="36"/>
        <v>1762.49</v>
      </c>
      <c r="W174" s="818">
        <f t="shared" ref="W174:W201" si="40">U174+V174</f>
        <v>13747.438</v>
      </c>
      <c r="X174" s="720">
        <f t="shared" si="39"/>
        <v>11960.271060000001</v>
      </c>
      <c r="Y174" s="760"/>
      <c r="Z174" s="829" t="s">
        <v>1228</v>
      </c>
      <c r="AA174" s="760">
        <f t="shared" si="38"/>
        <v>20014.5</v>
      </c>
      <c r="AB174" s="776">
        <f>AA174-W174</f>
        <v>6267.0619999999999</v>
      </c>
    </row>
    <row r="175" spans="1:28" s="646" customFormat="1" ht="16.5" customHeight="1" x14ac:dyDescent="0.25">
      <c r="A175" s="1036" t="s">
        <v>1229</v>
      </c>
      <c r="B175" s="779"/>
      <c r="C175" s="780" t="s">
        <v>1230</v>
      </c>
      <c r="D175" s="697">
        <v>1</v>
      </c>
      <c r="E175" s="698"/>
      <c r="F175" s="752" t="s">
        <v>1117</v>
      </c>
      <c r="G175" s="700">
        <v>7800</v>
      </c>
      <c r="H175" s="701">
        <f t="shared" si="37"/>
        <v>8135.4</v>
      </c>
      <c r="I175" s="700">
        <v>0.01</v>
      </c>
      <c r="J175" s="700">
        <f t="shared" si="29"/>
        <v>81.349999999999994</v>
      </c>
      <c r="K175" s="700">
        <v>0.77</v>
      </c>
      <c r="L175" s="701">
        <f t="shared" si="30"/>
        <v>6326.9</v>
      </c>
      <c r="M175" s="702">
        <v>15</v>
      </c>
      <c r="N175" s="701">
        <f t="shared" si="31"/>
        <v>1232.51</v>
      </c>
      <c r="O175" s="702">
        <v>24</v>
      </c>
      <c r="P175" s="701">
        <f t="shared" si="32"/>
        <v>1972.02</v>
      </c>
      <c r="Q175" s="702">
        <v>15</v>
      </c>
      <c r="R175" s="701">
        <f t="shared" si="33"/>
        <v>2662.23</v>
      </c>
      <c r="S175" s="703">
        <v>50</v>
      </c>
      <c r="T175" s="704">
        <f t="shared" si="34"/>
        <v>8874.09</v>
      </c>
      <c r="U175" s="705">
        <f t="shared" si="35"/>
        <v>29284.5</v>
      </c>
      <c r="V175" s="704">
        <f t="shared" si="36"/>
        <v>3389.41</v>
      </c>
      <c r="W175" s="817">
        <f t="shared" si="40"/>
        <v>32673.91</v>
      </c>
      <c r="X175" s="706">
        <f t="shared" si="39"/>
        <v>28426.3017</v>
      </c>
      <c r="Y175" s="746"/>
      <c r="Z175" s="781" t="s">
        <v>1231</v>
      </c>
      <c r="AA175" s="746">
        <f t="shared" si="38"/>
        <v>20014.5</v>
      </c>
      <c r="AB175" s="810"/>
    </row>
    <row r="176" spans="1:28" s="646" customFormat="1" ht="16.5" customHeight="1" x14ac:dyDescent="0.25">
      <c r="A176" s="1037"/>
      <c r="B176" s="782"/>
      <c r="C176" s="783" t="s">
        <v>1232</v>
      </c>
      <c r="D176" s="739">
        <v>1</v>
      </c>
      <c r="E176" s="740" t="s">
        <v>1061</v>
      </c>
      <c r="F176" s="727" t="s">
        <v>1117</v>
      </c>
      <c r="G176" s="675">
        <v>6136</v>
      </c>
      <c r="H176" s="674">
        <f t="shared" si="37"/>
        <v>6399.848</v>
      </c>
      <c r="I176" s="675">
        <v>0.03</v>
      </c>
      <c r="J176" s="675">
        <f t="shared" si="29"/>
        <v>192</v>
      </c>
      <c r="K176" s="675">
        <v>0.77</v>
      </c>
      <c r="L176" s="674">
        <f t="shared" si="30"/>
        <v>5075.72</v>
      </c>
      <c r="M176" s="741">
        <v>15</v>
      </c>
      <c r="N176" s="674">
        <f t="shared" si="31"/>
        <v>988.78</v>
      </c>
      <c r="O176" s="741">
        <v>24</v>
      </c>
      <c r="P176" s="674">
        <f t="shared" si="32"/>
        <v>1582.04</v>
      </c>
      <c r="Q176" s="741">
        <v>15</v>
      </c>
      <c r="R176" s="674">
        <f t="shared" si="33"/>
        <v>2135.7600000000002</v>
      </c>
      <c r="S176" s="742">
        <v>50</v>
      </c>
      <c r="T176" s="678">
        <f t="shared" si="34"/>
        <v>7119.19</v>
      </c>
      <c r="U176" s="679">
        <f t="shared" si="35"/>
        <v>23493.338</v>
      </c>
      <c r="V176" s="678">
        <f t="shared" si="36"/>
        <v>2719.14</v>
      </c>
      <c r="W176" s="815">
        <f t="shared" si="40"/>
        <v>26212.477999999999</v>
      </c>
      <c r="X176" s="743">
        <f t="shared" si="39"/>
        <v>22804.85586</v>
      </c>
      <c r="Y176" s="750"/>
      <c r="Z176" s="784" t="s">
        <v>1286</v>
      </c>
      <c r="AA176" s="750">
        <f t="shared" si="38"/>
        <v>20014.5</v>
      </c>
      <c r="AB176" s="811"/>
    </row>
    <row r="177" spans="1:28" s="646" customFormat="1" ht="16.5" customHeight="1" x14ac:dyDescent="0.25">
      <c r="A177" s="1037"/>
      <c r="B177" s="782"/>
      <c r="C177" s="783" t="s">
        <v>1133</v>
      </c>
      <c r="D177" s="739">
        <v>1</v>
      </c>
      <c r="E177" s="740" t="s">
        <v>1054</v>
      </c>
      <c r="F177" s="727" t="s">
        <v>1117</v>
      </c>
      <c r="G177" s="675">
        <v>6760</v>
      </c>
      <c r="H177" s="674">
        <f t="shared" si="37"/>
        <v>7050.6799999999994</v>
      </c>
      <c r="I177" s="675">
        <v>0.04</v>
      </c>
      <c r="J177" s="675">
        <f t="shared" si="29"/>
        <v>282.02999999999997</v>
      </c>
      <c r="K177" s="675">
        <v>0.88</v>
      </c>
      <c r="L177" s="674">
        <f t="shared" si="30"/>
        <v>6452.78</v>
      </c>
      <c r="M177" s="741">
        <v>15</v>
      </c>
      <c r="N177" s="674">
        <f t="shared" si="31"/>
        <v>1099.9100000000001</v>
      </c>
      <c r="O177" s="741">
        <v>24</v>
      </c>
      <c r="P177" s="674">
        <f t="shared" si="32"/>
        <v>1759.85</v>
      </c>
      <c r="Q177" s="741">
        <v>15</v>
      </c>
      <c r="R177" s="674">
        <f t="shared" si="33"/>
        <v>2496.79</v>
      </c>
      <c r="S177" s="742">
        <v>50</v>
      </c>
      <c r="T177" s="678">
        <f t="shared" si="34"/>
        <v>8322.6299999999992</v>
      </c>
      <c r="U177" s="679">
        <f t="shared" si="35"/>
        <v>27464.67</v>
      </c>
      <c r="V177" s="678">
        <f t="shared" si="36"/>
        <v>3024.74</v>
      </c>
      <c r="W177" s="815">
        <f t="shared" si="40"/>
        <v>30489.409999999996</v>
      </c>
      <c r="X177" s="743">
        <f t="shared" si="39"/>
        <v>26525.786699999997</v>
      </c>
      <c r="Y177" s="750"/>
      <c r="Z177" s="784"/>
      <c r="AA177" s="750">
        <f t="shared" si="38"/>
        <v>20014.5</v>
      </c>
      <c r="AB177" s="811"/>
    </row>
    <row r="178" spans="1:28" s="646" customFormat="1" ht="16.5" customHeight="1" x14ac:dyDescent="0.25">
      <c r="A178" s="1037"/>
      <c r="B178" s="782"/>
      <c r="C178" s="783" t="s">
        <v>1133</v>
      </c>
      <c r="D178" s="739">
        <v>1</v>
      </c>
      <c r="E178" s="740" t="s">
        <v>1054</v>
      </c>
      <c r="F178" s="727" t="s">
        <v>1117</v>
      </c>
      <c r="G178" s="675">
        <v>6760</v>
      </c>
      <c r="H178" s="674">
        <f t="shared" si="37"/>
        <v>7050.6799999999994</v>
      </c>
      <c r="I178" s="675">
        <v>0.04</v>
      </c>
      <c r="J178" s="675">
        <f t="shared" si="29"/>
        <v>282.02999999999997</v>
      </c>
      <c r="K178" s="675">
        <v>0.88</v>
      </c>
      <c r="L178" s="674">
        <f t="shared" si="30"/>
        <v>6452.78</v>
      </c>
      <c r="M178" s="741">
        <v>15</v>
      </c>
      <c r="N178" s="674">
        <f t="shared" si="31"/>
        <v>1099.9100000000001</v>
      </c>
      <c r="O178" s="741">
        <v>24</v>
      </c>
      <c r="P178" s="674">
        <f t="shared" si="32"/>
        <v>1759.85</v>
      </c>
      <c r="Q178" s="741">
        <v>15</v>
      </c>
      <c r="R178" s="674">
        <f t="shared" si="33"/>
        <v>2496.79</v>
      </c>
      <c r="S178" s="742">
        <v>50</v>
      </c>
      <c r="T178" s="678">
        <f t="shared" si="34"/>
        <v>8322.6299999999992</v>
      </c>
      <c r="U178" s="679">
        <f t="shared" si="35"/>
        <v>27464.67</v>
      </c>
      <c r="V178" s="678">
        <f t="shared" si="36"/>
        <v>3024.74</v>
      </c>
      <c r="W178" s="815">
        <f t="shared" si="40"/>
        <v>30489.409999999996</v>
      </c>
      <c r="X178" s="743">
        <f t="shared" si="39"/>
        <v>26525.786699999997</v>
      </c>
      <c r="Y178" s="750"/>
      <c r="Z178" s="784" t="s">
        <v>1233</v>
      </c>
      <c r="AA178" s="750">
        <f t="shared" si="38"/>
        <v>20014.5</v>
      </c>
      <c r="AB178" s="811"/>
    </row>
    <row r="179" spans="1:28" s="646" customFormat="1" ht="23.25" customHeight="1" x14ac:dyDescent="0.25">
      <c r="A179" s="1037"/>
      <c r="B179" s="782"/>
      <c r="C179" s="783" t="s">
        <v>1234</v>
      </c>
      <c r="D179" s="739">
        <v>1</v>
      </c>
      <c r="E179" s="740" t="s">
        <v>1061</v>
      </c>
      <c r="F179" s="727" t="s">
        <v>1117</v>
      </c>
      <c r="G179" s="675">
        <v>6136</v>
      </c>
      <c r="H179" s="674">
        <f t="shared" si="37"/>
        <v>6399.848</v>
      </c>
      <c r="I179" s="675">
        <v>0.03</v>
      </c>
      <c r="J179" s="675">
        <f t="shared" si="29"/>
        <v>192</v>
      </c>
      <c r="K179" s="675">
        <v>0.77</v>
      </c>
      <c r="L179" s="674">
        <f t="shared" si="30"/>
        <v>5075.72</v>
      </c>
      <c r="M179" s="741">
        <v>15</v>
      </c>
      <c r="N179" s="674">
        <f t="shared" si="31"/>
        <v>988.78</v>
      </c>
      <c r="O179" s="741">
        <v>24</v>
      </c>
      <c r="P179" s="674">
        <f t="shared" si="32"/>
        <v>1582.04</v>
      </c>
      <c r="Q179" s="741">
        <v>15</v>
      </c>
      <c r="R179" s="674">
        <f t="shared" si="33"/>
        <v>2135.7600000000002</v>
      </c>
      <c r="S179" s="742">
        <v>50</v>
      </c>
      <c r="T179" s="678">
        <f t="shared" si="34"/>
        <v>7119.19</v>
      </c>
      <c r="U179" s="679">
        <f t="shared" si="35"/>
        <v>23493.338</v>
      </c>
      <c r="V179" s="678">
        <f t="shared" si="36"/>
        <v>2719.14</v>
      </c>
      <c r="W179" s="815">
        <f t="shared" si="40"/>
        <v>26212.477999999999</v>
      </c>
      <c r="X179" s="743">
        <f t="shared" si="39"/>
        <v>22804.85586</v>
      </c>
      <c r="Y179" s="750"/>
      <c r="Z179" s="784" t="s">
        <v>1235</v>
      </c>
      <c r="AA179" s="750">
        <f t="shared" si="38"/>
        <v>20014.5</v>
      </c>
      <c r="AB179" s="811"/>
    </row>
    <row r="180" spans="1:28" s="646" customFormat="1" ht="16.5" customHeight="1" thickBot="1" x14ac:dyDescent="0.3">
      <c r="A180" s="1038"/>
      <c r="B180" s="785"/>
      <c r="C180" s="711" t="s">
        <v>1236</v>
      </c>
      <c r="D180" s="712">
        <v>1</v>
      </c>
      <c r="E180" s="713" t="s">
        <v>1067</v>
      </c>
      <c r="F180" s="759" t="s">
        <v>1032</v>
      </c>
      <c r="G180" s="714">
        <v>5200</v>
      </c>
      <c r="H180" s="715">
        <f t="shared" si="37"/>
        <v>5423.5999999999995</v>
      </c>
      <c r="I180" s="714">
        <v>0.01</v>
      </c>
      <c r="J180" s="714">
        <f t="shared" si="29"/>
        <v>54.24</v>
      </c>
      <c r="K180" s="714">
        <v>0.1</v>
      </c>
      <c r="L180" s="715">
        <f t="shared" si="30"/>
        <v>547.78</v>
      </c>
      <c r="M180" s="716">
        <v>15</v>
      </c>
      <c r="N180" s="715">
        <f t="shared" si="31"/>
        <v>821.68</v>
      </c>
      <c r="O180" s="716">
        <v>24</v>
      </c>
      <c r="P180" s="715">
        <f t="shared" si="32"/>
        <v>1314.68</v>
      </c>
      <c r="Q180" s="716">
        <v>15</v>
      </c>
      <c r="R180" s="715">
        <f t="shared" si="33"/>
        <v>1224.3</v>
      </c>
      <c r="S180" s="717">
        <v>50</v>
      </c>
      <c r="T180" s="718">
        <f t="shared" si="34"/>
        <v>4080.99</v>
      </c>
      <c r="U180" s="719">
        <f t="shared" si="35"/>
        <v>13467.269999999999</v>
      </c>
      <c r="V180" s="718">
        <f t="shared" si="36"/>
        <v>2259.61</v>
      </c>
      <c r="W180" s="818">
        <f t="shared" si="40"/>
        <v>15726.88</v>
      </c>
      <c r="X180" s="720">
        <f t="shared" si="39"/>
        <v>13682.3856</v>
      </c>
      <c r="Y180" s="760"/>
      <c r="Z180" s="786" t="s">
        <v>1237</v>
      </c>
      <c r="AA180" s="760">
        <f t="shared" si="38"/>
        <v>20014.5</v>
      </c>
      <c r="AB180" s="776">
        <f>AA180-W180</f>
        <v>4287.6200000000008</v>
      </c>
    </row>
    <row r="181" spans="1:28" s="646" customFormat="1" ht="16.5" customHeight="1" x14ac:dyDescent="0.25">
      <c r="A181" s="1028" t="s">
        <v>1238</v>
      </c>
      <c r="B181" s="779"/>
      <c r="C181" s="780" t="s">
        <v>1230</v>
      </c>
      <c r="D181" s="697">
        <v>1</v>
      </c>
      <c r="E181" s="698"/>
      <c r="F181" s="752" t="s">
        <v>1117</v>
      </c>
      <c r="G181" s="700">
        <v>7800</v>
      </c>
      <c r="H181" s="701">
        <f t="shared" si="37"/>
        <v>8135.4</v>
      </c>
      <c r="I181" s="700">
        <v>0.01</v>
      </c>
      <c r="J181" s="700">
        <f t="shared" si="29"/>
        <v>81.349999999999994</v>
      </c>
      <c r="K181" s="700">
        <v>0.49</v>
      </c>
      <c r="L181" s="701">
        <f t="shared" si="30"/>
        <v>4026.21</v>
      </c>
      <c r="M181" s="702">
        <v>15</v>
      </c>
      <c r="N181" s="701">
        <f t="shared" si="31"/>
        <v>1232.51</v>
      </c>
      <c r="O181" s="702">
        <v>24</v>
      </c>
      <c r="P181" s="701">
        <f t="shared" si="32"/>
        <v>1972.02</v>
      </c>
      <c r="Q181" s="702">
        <v>15</v>
      </c>
      <c r="R181" s="701">
        <f t="shared" si="33"/>
        <v>2317.12</v>
      </c>
      <c r="S181" s="703">
        <v>50</v>
      </c>
      <c r="T181" s="704">
        <f t="shared" si="34"/>
        <v>7723.75</v>
      </c>
      <c r="U181" s="705">
        <f t="shared" si="35"/>
        <v>25488.36</v>
      </c>
      <c r="V181" s="704">
        <f t="shared" si="36"/>
        <v>3389.41</v>
      </c>
      <c r="W181" s="817">
        <f t="shared" si="40"/>
        <v>28877.77</v>
      </c>
      <c r="X181" s="706">
        <f t="shared" si="39"/>
        <v>25123.659900000002</v>
      </c>
      <c r="Y181" s="885" t="s">
        <v>1288</v>
      </c>
      <c r="Z181" s="784" t="s">
        <v>1287</v>
      </c>
      <c r="AA181" s="746">
        <f t="shared" si="38"/>
        <v>20014.5</v>
      </c>
      <c r="AB181" s="810"/>
    </row>
    <row r="182" spans="1:28" s="646" customFormat="1" ht="16.5" customHeight="1" x14ac:dyDescent="0.25">
      <c r="A182" s="1029"/>
      <c r="B182" s="782"/>
      <c r="C182" s="783" t="s">
        <v>1133</v>
      </c>
      <c r="D182" s="739">
        <v>1</v>
      </c>
      <c r="E182" s="740" t="s">
        <v>1054</v>
      </c>
      <c r="F182" s="727" t="s">
        <v>1117</v>
      </c>
      <c r="G182" s="675">
        <v>6760</v>
      </c>
      <c r="H182" s="674">
        <f t="shared" si="37"/>
        <v>7050.6799999999994</v>
      </c>
      <c r="I182" s="675">
        <v>0.04</v>
      </c>
      <c r="J182" s="675">
        <f t="shared" si="29"/>
        <v>282.02999999999997</v>
      </c>
      <c r="K182" s="675">
        <v>0.43</v>
      </c>
      <c r="L182" s="674">
        <f t="shared" si="30"/>
        <v>3153.07</v>
      </c>
      <c r="M182" s="741">
        <v>15</v>
      </c>
      <c r="N182" s="674">
        <f t="shared" si="31"/>
        <v>1099.9100000000001</v>
      </c>
      <c r="O182" s="741">
        <v>24</v>
      </c>
      <c r="P182" s="674">
        <f t="shared" si="32"/>
        <v>1759.85</v>
      </c>
      <c r="Q182" s="741">
        <v>15</v>
      </c>
      <c r="R182" s="674">
        <f t="shared" si="33"/>
        <v>2001.83</v>
      </c>
      <c r="S182" s="742">
        <v>50</v>
      </c>
      <c r="T182" s="678">
        <f t="shared" si="34"/>
        <v>6672.77</v>
      </c>
      <c r="U182" s="679">
        <f t="shared" si="35"/>
        <v>22020.14</v>
      </c>
      <c r="V182" s="678">
        <f t="shared" si="36"/>
        <v>3024.74</v>
      </c>
      <c r="W182" s="815">
        <f t="shared" si="40"/>
        <v>25044.879999999997</v>
      </c>
      <c r="X182" s="743">
        <f t="shared" si="39"/>
        <v>21789.045599999998</v>
      </c>
      <c r="Y182" s="750"/>
      <c r="Z182" s="784"/>
      <c r="AA182" s="750">
        <f t="shared" si="38"/>
        <v>20014.5</v>
      </c>
      <c r="AB182" s="811"/>
    </row>
    <row r="183" spans="1:28" s="646" customFormat="1" ht="17.25" customHeight="1" x14ac:dyDescent="0.25">
      <c r="A183" s="1029"/>
      <c r="B183" s="782"/>
      <c r="C183" s="783" t="s">
        <v>1239</v>
      </c>
      <c r="D183" s="739">
        <v>1</v>
      </c>
      <c r="E183" s="740" t="s">
        <v>1067</v>
      </c>
      <c r="F183" s="727" t="s">
        <v>1117</v>
      </c>
      <c r="G183" s="675">
        <v>6136</v>
      </c>
      <c r="H183" s="674">
        <f t="shared" si="37"/>
        <v>6399.848</v>
      </c>
      <c r="I183" s="675">
        <v>0.01</v>
      </c>
      <c r="J183" s="675">
        <f t="shared" si="29"/>
        <v>64</v>
      </c>
      <c r="K183" s="675">
        <v>0.67</v>
      </c>
      <c r="L183" s="674">
        <f t="shared" si="30"/>
        <v>4330.78</v>
      </c>
      <c r="M183" s="741">
        <v>15</v>
      </c>
      <c r="N183" s="674">
        <f t="shared" si="31"/>
        <v>969.58</v>
      </c>
      <c r="O183" s="741">
        <v>24</v>
      </c>
      <c r="P183" s="674">
        <f t="shared" si="32"/>
        <v>1551.32</v>
      </c>
      <c r="Q183" s="741">
        <v>15</v>
      </c>
      <c r="R183" s="674">
        <f t="shared" si="33"/>
        <v>1997.33</v>
      </c>
      <c r="S183" s="742">
        <v>50</v>
      </c>
      <c r="T183" s="678">
        <f t="shared" si="34"/>
        <v>6657.76</v>
      </c>
      <c r="U183" s="679">
        <f t="shared" si="35"/>
        <v>21970.618000000002</v>
      </c>
      <c r="V183" s="678">
        <f t="shared" si="36"/>
        <v>2666.34</v>
      </c>
      <c r="W183" s="815">
        <f t="shared" si="40"/>
        <v>24636.958000000002</v>
      </c>
      <c r="X183" s="743">
        <f t="shared" si="39"/>
        <v>21434.153460000001</v>
      </c>
      <c r="Y183" s="750"/>
      <c r="Z183" s="784" t="s">
        <v>1287</v>
      </c>
      <c r="AA183" s="750">
        <f t="shared" si="38"/>
        <v>20014.5</v>
      </c>
      <c r="AB183" s="811"/>
    </row>
    <row r="184" spans="1:28" s="646" customFormat="1" ht="16.5" customHeight="1" thickBot="1" x14ac:dyDescent="0.3">
      <c r="A184" s="1030"/>
      <c r="B184" s="785"/>
      <c r="C184" s="711" t="s">
        <v>1239</v>
      </c>
      <c r="D184" s="712">
        <v>1</v>
      </c>
      <c r="E184" s="713" t="s">
        <v>1067</v>
      </c>
      <c r="F184" s="759" t="s">
        <v>1117</v>
      </c>
      <c r="G184" s="714">
        <v>6136</v>
      </c>
      <c r="H184" s="715">
        <f t="shared" si="37"/>
        <v>6399.848</v>
      </c>
      <c r="I184" s="714">
        <v>0.01</v>
      </c>
      <c r="J184" s="714">
        <f t="shared" si="29"/>
        <v>64</v>
      </c>
      <c r="K184" s="714">
        <v>0.67</v>
      </c>
      <c r="L184" s="715">
        <f t="shared" si="30"/>
        <v>4330.78</v>
      </c>
      <c r="M184" s="716">
        <v>15</v>
      </c>
      <c r="N184" s="715">
        <f t="shared" si="31"/>
        <v>969.58</v>
      </c>
      <c r="O184" s="716">
        <v>24</v>
      </c>
      <c r="P184" s="715">
        <f t="shared" si="32"/>
        <v>1551.32</v>
      </c>
      <c r="Q184" s="716">
        <v>15</v>
      </c>
      <c r="R184" s="715">
        <f t="shared" si="33"/>
        <v>1997.33</v>
      </c>
      <c r="S184" s="717">
        <v>50</v>
      </c>
      <c r="T184" s="718">
        <f t="shared" si="34"/>
        <v>6657.76</v>
      </c>
      <c r="U184" s="719">
        <f t="shared" si="35"/>
        <v>21970.618000000002</v>
      </c>
      <c r="V184" s="718">
        <f t="shared" si="36"/>
        <v>2666.34</v>
      </c>
      <c r="W184" s="818">
        <f t="shared" si="40"/>
        <v>24636.958000000002</v>
      </c>
      <c r="X184" s="720">
        <f t="shared" si="39"/>
        <v>21434.153460000001</v>
      </c>
      <c r="Y184" s="760"/>
      <c r="Z184" s="786" t="s">
        <v>1240</v>
      </c>
      <c r="AA184" s="760">
        <f t="shared" si="38"/>
        <v>20014.5</v>
      </c>
      <c r="AB184" s="776"/>
    </row>
    <row r="185" spans="1:28" s="646" customFormat="1" ht="39.75" customHeight="1" x14ac:dyDescent="0.25">
      <c r="A185" s="1028" t="s">
        <v>1241</v>
      </c>
      <c r="B185" s="779"/>
      <c r="C185" s="780" t="s">
        <v>1242</v>
      </c>
      <c r="D185" s="697">
        <v>1</v>
      </c>
      <c r="E185" s="698"/>
      <c r="F185" s="752" t="s">
        <v>1117</v>
      </c>
      <c r="G185" s="700">
        <v>7800</v>
      </c>
      <c r="H185" s="701">
        <f t="shared" si="37"/>
        <v>8135.4</v>
      </c>
      <c r="I185" s="700">
        <v>0.01</v>
      </c>
      <c r="J185" s="700">
        <f t="shared" si="29"/>
        <v>81.349999999999994</v>
      </c>
      <c r="K185" s="700">
        <v>1.46</v>
      </c>
      <c r="L185" s="701">
        <f t="shared" si="30"/>
        <v>11996.46</v>
      </c>
      <c r="M185" s="702">
        <v>15</v>
      </c>
      <c r="N185" s="701">
        <f t="shared" si="31"/>
        <v>1232.51</v>
      </c>
      <c r="O185" s="702">
        <v>24</v>
      </c>
      <c r="P185" s="701">
        <f t="shared" si="32"/>
        <v>1972.02</v>
      </c>
      <c r="Q185" s="702">
        <v>15</v>
      </c>
      <c r="R185" s="701">
        <f t="shared" si="33"/>
        <v>3512.66</v>
      </c>
      <c r="S185" s="703">
        <v>50</v>
      </c>
      <c r="T185" s="704">
        <f t="shared" si="34"/>
        <v>11708.87</v>
      </c>
      <c r="U185" s="705">
        <f t="shared" si="35"/>
        <v>38639.269999999997</v>
      </c>
      <c r="V185" s="704">
        <f t="shared" si="36"/>
        <v>3389.41</v>
      </c>
      <c r="W185" s="817">
        <f t="shared" si="40"/>
        <v>42028.679999999993</v>
      </c>
      <c r="X185" s="706">
        <f t="shared" si="39"/>
        <v>36564.9516</v>
      </c>
      <c r="Y185" s="746"/>
      <c r="Z185" s="781" t="s">
        <v>1243</v>
      </c>
      <c r="AA185" s="746">
        <f t="shared" si="38"/>
        <v>20014.5</v>
      </c>
      <c r="AB185" s="810"/>
    </row>
    <row r="186" spans="1:28" s="646" customFormat="1" ht="16.5" customHeight="1" x14ac:dyDescent="0.25">
      <c r="A186" s="1029"/>
      <c r="B186" s="782"/>
      <c r="C186" s="783" t="s">
        <v>1133</v>
      </c>
      <c r="D186" s="739">
        <v>1</v>
      </c>
      <c r="E186" s="740" t="s">
        <v>1054</v>
      </c>
      <c r="F186" s="727" t="s">
        <v>1117</v>
      </c>
      <c r="G186" s="675">
        <v>6760</v>
      </c>
      <c r="H186" s="674">
        <f t="shared" si="37"/>
        <v>7050.6799999999994</v>
      </c>
      <c r="I186" s="675">
        <v>0.04</v>
      </c>
      <c r="J186" s="675">
        <f t="shared" si="29"/>
        <v>282.02999999999997</v>
      </c>
      <c r="K186" s="675">
        <v>0.42</v>
      </c>
      <c r="L186" s="674">
        <f t="shared" si="30"/>
        <v>3079.74</v>
      </c>
      <c r="M186" s="741">
        <v>15</v>
      </c>
      <c r="N186" s="674">
        <f t="shared" si="31"/>
        <v>1099.9100000000001</v>
      </c>
      <c r="O186" s="741">
        <v>24</v>
      </c>
      <c r="P186" s="674">
        <f t="shared" si="32"/>
        <v>1759.85</v>
      </c>
      <c r="Q186" s="741">
        <v>15</v>
      </c>
      <c r="R186" s="674">
        <f t="shared" si="33"/>
        <v>1990.83</v>
      </c>
      <c r="S186" s="742">
        <v>50</v>
      </c>
      <c r="T186" s="678">
        <f t="shared" si="34"/>
        <v>6636.11</v>
      </c>
      <c r="U186" s="679">
        <f t="shared" si="35"/>
        <v>21899.149999999998</v>
      </c>
      <c r="V186" s="678">
        <f t="shared" si="36"/>
        <v>3024.74</v>
      </c>
      <c r="W186" s="815">
        <f t="shared" si="40"/>
        <v>24923.89</v>
      </c>
      <c r="X186" s="743">
        <f t="shared" si="39"/>
        <v>21683.784299999999</v>
      </c>
      <c r="Y186" s="750"/>
      <c r="Z186" s="784" t="s">
        <v>1244</v>
      </c>
      <c r="AA186" s="750">
        <f t="shared" si="38"/>
        <v>20014.5</v>
      </c>
      <c r="AB186" s="811"/>
    </row>
    <row r="187" spans="1:28" s="646" customFormat="1" ht="16.5" customHeight="1" x14ac:dyDescent="0.25">
      <c r="A187" s="1029"/>
      <c r="B187" s="782"/>
      <c r="C187" s="783" t="s">
        <v>1245</v>
      </c>
      <c r="D187" s="739">
        <v>1</v>
      </c>
      <c r="E187" s="740" t="s">
        <v>1054</v>
      </c>
      <c r="F187" s="727" t="s">
        <v>1117</v>
      </c>
      <c r="G187" s="675">
        <v>6760</v>
      </c>
      <c r="H187" s="674">
        <f t="shared" si="37"/>
        <v>7050.6799999999994</v>
      </c>
      <c r="I187" s="675">
        <v>0.04</v>
      </c>
      <c r="J187" s="675">
        <f t="shared" si="29"/>
        <v>282.02999999999997</v>
      </c>
      <c r="K187" s="675">
        <v>0.82</v>
      </c>
      <c r="L187" s="674">
        <f t="shared" si="30"/>
        <v>6012.82</v>
      </c>
      <c r="M187" s="741">
        <v>15</v>
      </c>
      <c r="N187" s="674">
        <f t="shared" si="31"/>
        <v>1099.9100000000001</v>
      </c>
      <c r="O187" s="741">
        <v>24</v>
      </c>
      <c r="P187" s="674">
        <f t="shared" si="32"/>
        <v>1759.85</v>
      </c>
      <c r="Q187" s="741">
        <v>15</v>
      </c>
      <c r="R187" s="674">
        <f t="shared" si="33"/>
        <v>2430.79</v>
      </c>
      <c r="S187" s="742">
        <v>50</v>
      </c>
      <c r="T187" s="678">
        <f t="shared" si="34"/>
        <v>8102.65</v>
      </c>
      <c r="U187" s="679">
        <f t="shared" si="35"/>
        <v>26738.729999999996</v>
      </c>
      <c r="V187" s="678">
        <f t="shared" si="36"/>
        <v>3024.74</v>
      </c>
      <c r="W187" s="815">
        <f t="shared" si="40"/>
        <v>29763.469999999994</v>
      </c>
      <c r="X187" s="743">
        <f t="shared" si="39"/>
        <v>25894.218899999993</v>
      </c>
      <c r="Y187" s="750"/>
      <c r="Z187" s="784" t="s">
        <v>1246</v>
      </c>
      <c r="AA187" s="750">
        <f t="shared" si="38"/>
        <v>20014.5</v>
      </c>
      <c r="AB187" s="811"/>
    </row>
    <row r="188" spans="1:28" s="646" customFormat="1" ht="16.5" customHeight="1" x14ac:dyDescent="0.25">
      <c r="A188" s="1029"/>
      <c r="B188" s="782"/>
      <c r="C188" s="783" t="s">
        <v>1247</v>
      </c>
      <c r="D188" s="739">
        <v>1</v>
      </c>
      <c r="E188" s="740" t="s">
        <v>1125</v>
      </c>
      <c r="F188" s="727" t="s">
        <v>1117</v>
      </c>
      <c r="G188" s="675">
        <v>6136</v>
      </c>
      <c r="H188" s="674">
        <f t="shared" si="37"/>
        <v>6399.848</v>
      </c>
      <c r="I188" s="675">
        <v>0.01</v>
      </c>
      <c r="J188" s="675">
        <f t="shared" si="29"/>
        <v>64</v>
      </c>
      <c r="K188" s="675">
        <v>0.72</v>
      </c>
      <c r="L188" s="674">
        <f t="shared" si="30"/>
        <v>4653.97</v>
      </c>
      <c r="M188" s="741">
        <v>15</v>
      </c>
      <c r="N188" s="674">
        <f t="shared" si="31"/>
        <v>969.58</v>
      </c>
      <c r="O188" s="741">
        <v>24</v>
      </c>
      <c r="P188" s="674">
        <f t="shared" si="32"/>
        <v>1551.32</v>
      </c>
      <c r="Q188" s="741">
        <v>15</v>
      </c>
      <c r="R188" s="674">
        <f t="shared" si="33"/>
        <v>2045.81</v>
      </c>
      <c r="S188" s="742">
        <v>50</v>
      </c>
      <c r="T188" s="678">
        <f t="shared" si="34"/>
        <v>6819.36</v>
      </c>
      <c r="U188" s="679">
        <f t="shared" si="35"/>
        <v>22503.887999999999</v>
      </c>
      <c r="V188" s="678">
        <f t="shared" si="36"/>
        <v>2666.34</v>
      </c>
      <c r="W188" s="815">
        <f t="shared" si="40"/>
        <v>25170.227999999999</v>
      </c>
      <c r="X188" s="743">
        <f t="shared" si="39"/>
        <v>21898.09836</v>
      </c>
      <c r="Y188" s="750"/>
      <c r="Z188" s="784"/>
      <c r="AA188" s="750">
        <f t="shared" si="38"/>
        <v>20014.5</v>
      </c>
      <c r="AB188" s="811"/>
    </row>
    <row r="189" spans="1:28" s="646" customFormat="1" ht="16.5" customHeight="1" x14ac:dyDescent="0.25">
      <c r="A189" s="1029"/>
      <c r="B189" s="782"/>
      <c r="C189" s="783" t="s">
        <v>1248</v>
      </c>
      <c r="D189" s="739">
        <v>1</v>
      </c>
      <c r="E189" s="740" t="s">
        <v>1067</v>
      </c>
      <c r="F189" s="727" t="s">
        <v>1117</v>
      </c>
      <c r="G189" s="675">
        <v>6136</v>
      </c>
      <c r="H189" s="674">
        <f t="shared" si="37"/>
        <v>6399.848</v>
      </c>
      <c r="I189" s="675">
        <v>0.01</v>
      </c>
      <c r="J189" s="675">
        <f t="shared" si="29"/>
        <v>64</v>
      </c>
      <c r="K189" s="675">
        <v>0.77</v>
      </c>
      <c r="L189" s="674">
        <f t="shared" si="30"/>
        <v>4977.16</v>
      </c>
      <c r="M189" s="741">
        <v>15</v>
      </c>
      <c r="N189" s="674">
        <f t="shared" si="31"/>
        <v>969.58</v>
      </c>
      <c r="O189" s="741">
        <v>24</v>
      </c>
      <c r="P189" s="674">
        <f t="shared" si="32"/>
        <v>1551.32</v>
      </c>
      <c r="Q189" s="741">
        <v>15</v>
      </c>
      <c r="R189" s="674">
        <f t="shared" si="33"/>
        <v>2094.29</v>
      </c>
      <c r="S189" s="742">
        <v>50</v>
      </c>
      <c r="T189" s="678">
        <f t="shared" si="34"/>
        <v>6980.95</v>
      </c>
      <c r="U189" s="679">
        <f t="shared" si="35"/>
        <v>23037.148000000001</v>
      </c>
      <c r="V189" s="678">
        <f t="shared" si="36"/>
        <v>2666.34</v>
      </c>
      <c r="W189" s="815">
        <f t="shared" si="40"/>
        <v>25703.488000000001</v>
      </c>
      <c r="X189" s="743">
        <f t="shared" si="39"/>
        <v>22362.03456</v>
      </c>
      <c r="Y189" s="750"/>
      <c r="Z189" s="784" t="s">
        <v>1249</v>
      </c>
      <c r="AA189" s="750">
        <f t="shared" si="38"/>
        <v>20014.5</v>
      </c>
      <c r="AB189" s="811"/>
    </row>
    <row r="190" spans="1:28" s="646" customFormat="1" ht="17.25" customHeight="1" x14ac:dyDescent="0.25">
      <c r="A190" s="1029"/>
      <c r="B190" s="782"/>
      <c r="C190" s="783" t="s">
        <v>1236</v>
      </c>
      <c r="D190" s="739">
        <v>1</v>
      </c>
      <c r="E190" s="740" t="s">
        <v>1067</v>
      </c>
      <c r="F190" s="727" t="s">
        <v>1032</v>
      </c>
      <c r="G190" s="675">
        <v>5200</v>
      </c>
      <c r="H190" s="674">
        <f t="shared" si="37"/>
        <v>5423.5999999999995</v>
      </c>
      <c r="I190" s="675">
        <v>0.01</v>
      </c>
      <c r="J190" s="675">
        <f t="shared" si="29"/>
        <v>54.24</v>
      </c>
      <c r="K190" s="675">
        <v>0.34</v>
      </c>
      <c r="L190" s="674">
        <f t="shared" si="30"/>
        <v>1862.47</v>
      </c>
      <c r="M190" s="741">
        <v>15</v>
      </c>
      <c r="N190" s="674">
        <f t="shared" si="31"/>
        <v>821.68</v>
      </c>
      <c r="O190" s="741">
        <v>24</v>
      </c>
      <c r="P190" s="674">
        <f t="shared" si="32"/>
        <v>1314.68</v>
      </c>
      <c r="Q190" s="741">
        <v>15</v>
      </c>
      <c r="R190" s="674">
        <f t="shared" si="33"/>
        <v>1421.5</v>
      </c>
      <c r="S190" s="742">
        <v>50</v>
      </c>
      <c r="T190" s="678">
        <f t="shared" si="34"/>
        <v>4738.34</v>
      </c>
      <c r="U190" s="679">
        <f t="shared" si="35"/>
        <v>15636.51</v>
      </c>
      <c r="V190" s="678">
        <f t="shared" si="36"/>
        <v>2259.61</v>
      </c>
      <c r="W190" s="815">
        <f t="shared" si="40"/>
        <v>17896.12</v>
      </c>
      <c r="X190" s="743">
        <f t="shared" si="39"/>
        <v>15569.624400000001</v>
      </c>
      <c r="Y190" s="750"/>
      <c r="Z190" s="784" t="s">
        <v>1290</v>
      </c>
      <c r="AA190" s="750">
        <f t="shared" si="38"/>
        <v>20014.5</v>
      </c>
      <c r="AB190" s="811">
        <f>AA190-W190</f>
        <v>2118.380000000001</v>
      </c>
    </row>
    <row r="191" spans="1:28" s="646" customFormat="1" ht="17.25" customHeight="1" x14ac:dyDescent="0.25">
      <c r="A191" s="1029"/>
      <c r="B191" s="782"/>
      <c r="C191" s="783" t="s">
        <v>1236</v>
      </c>
      <c r="D191" s="739">
        <v>1</v>
      </c>
      <c r="E191" s="740" t="s">
        <v>1067</v>
      </c>
      <c r="F191" s="727" t="s">
        <v>1032</v>
      </c>
      <c r="G191" s="675">
        <v>5200</v>
      </c>
      <c r="H191" s="674">
        <f t="shared" si="37"/>
        <v>5423.5999999999995</v>
      </c>
      <c r="I191" s="675">
        <v>0.01</v>
      </c>
      <c r="J191" s="675">
        <f t="shared" si="29"/>
        <v>54.24</v>
      </c>
      <c r="K191" s="675">
        <v>0.2</v>
      </c>
      <c r="L191" s="674">
        <f t="shared" si="30"/>
        <v>1095.57</v>
      </c>
      <c r="M191" s="741">
        <v>15</v>
      </c>
      <c r="N191" s="674">
        <f t="shared" si="31"/>
        <v>821.68</v>
      </c>
      <c r="O191" s="741">
        <v>24</v>
      </c>
      <c r="P191" s="674">
        <f t="shared" si="32"/>
        <v>1314.68</v>
      </c>
      <c r="Q191" s="741">
        <v>15</v>
      </c>
      <c r="R191" s="674">
        <f t="shared" si="33"/>
        <v>1306.47</v>
      </c>
      <c r="S191" s="742">
        <v>50</v>
      </c>
      <c r="T191" s="678">
        <f t="shared" si="34"/>
        <v>4354.8900000000003</v>
      </c>
      <c r="U191" s="679">
        <f t="shared" si="35"/>
        <v>14371.129999999997</v>
      </c>
      <c r="V191" s="678">
        <f t="shared" si="36"/>
        <v>2259.61</v>
      </c>
      <c r="W191" s="815">
        <f t="shared" si="40"/>
        <v>16630.739999999998</v>
      </c>
      <c r="X191" s="743">
        <f t="shared" si="39"/>
        <v>14468.743799999998</v>
      </c>
      <c r="Y191" s="750"/>
      <c r="Z191" s="784" t="s">
        <v>1289</v>
      </c>
      <c r="AA191" s="750">
        <f t="shared" si="38"/>
        <v>20014.5</v>
      </c>
      <c r="AB191" s="811">
        <f>AA191-W191</f>
        <v>3383.760000000002</v>
      </c>
    </row>
    <row r="192" spans="1:28" s="646" customFormat="1" ht="17.25" customHeight="1" x14ac:dyDescent="0.25">
      <c r="A192" s="1029"/>
      <c r="B192" s="782"/>
      <c r="C192" s="783" t="s">
        <v>1247</v>
      </c>
      <c r="D192" s="739">
        <v>1</v>
      </c>
      <c r="E192" s="740" t="s">
        <v>1125</v>
      </c>
      <c r="F192" s="727" t="s">
        <v>1117</v>
      </c>
      <c r="G192" s="675">
        <v>6136</v>
      </c>
      <c r="H192" s="674">
        <f t="shared" si="37"/>
        <v>6399.848</v>
      </c>
      <c r="I192" s="675">
        <v>0.01</v>
      </c>
      <c r="J192" s="675">
        <f t="shared" si="29"/>
        <v>64</v>
      </c>
      <c r="K192" s="675">
        <v>0.72</v>
      </c>
      <c r="L192" s="674">
        <f t="shared" si="30"/>
        <v>4653.97</v>
      </c>
      <c r="M192" s="741">
        <v>15</v>
      </c>
      <c r="N192" s="674">
        <f t="shared" si="31"/>
        <v>969.58</v>
      </c>
      <c r="O192" s="741">
        <v>24</v>
      </c>
      <c r="P192" s="674">
        <f t="shared" si="32"/>
        <v>1551.32</v>
      </c>
      <c r="Q192" s="741">
        <v>15</v>
      </c>
      <c r="R192" s="674">
        <f t="shared" si="33"/>
        <v>2045.81</v>
      </c>
      <c r="S192" s="742">
        <v>50</v>
      </c>
      <c r="T192" s="678">
        <f t="shared" si="34"/>
        <v>6819.36</v>
      </c>
      <c r="U192" s="679">
        <f t="shared" si="35"/>
        <v>22503.887999999999</v>
      </c>
      <c r="V192" s="678">
        <f t="shared" si="36"/>
        <v>2666.34</v>
      </c>
      <c r="W192" s="815">
        <f t="shared" si="40"/>
        <v>25170.227999999999</v>
      </c>
      <c r="X192" s="743">
        <f t="shared" si="39"/>
        <v>21898.09836</v>
      </c>
      <c r="Y192" s="750"/>
      <c r="Z192" s="784" t="s">
        <v>1250</v>
      </c>
      <c r="AA192" s="750">
        <f t="shared" si="38"/>
        <v>20014.5</v>
      </c>
      <c r="AB192" s="811"/>
    </row>
    <row r="193" spans="1:28" s="646" customFormat="1" ht="17.25" customHeight="1" x14ac:dyDescent="0.25">
      <c r="A193" s="1029"/>
      <c r="B193" s="782"/>
      <c r="C193" s="783" t="s">
        <v>1236</v>
      </c>
      <c r="D193" s="739">
        <v>1</v>
      </c>
      <c r="E193" s="740" t="s">
        <v>1067</v>
      </c>
      <c r="F193" s="727" t="s">
        <v>1032</v>
      </c>
      <c r="G193" s="675">
        <v>5200</v>
      </c>
      <c r="H193" s="674">
        <f t="shared" si="37"/>
        <v>5423.5999999999995</v>
      </c>
      <c r="I193" s="675">
        <v>0.01</v>
      </c>
      <c r="J193" s="675">
        <f t="shared" si="29"/>
        <v>54.24</v>
      </c>
      <c r="K193" s="675">
        <v>0.62</v>
      </c>
      <c r="L193" s="674">
        <f t="shared" si="30"/>
        <v>3396.26</v>
      </c>
      <c r="M193" s="741">
        <v>15</v>
      </c>
      <c r="N193" s="674">
        <f t="shared" si="31"/>
        <v>821.68</v>
      </c>
      <c r="O193" s="741">
        <v>24</v>
      </c>
      <c r="P193" s="674">
        <f t="shared" si="32"/>
        <v>1314.68</v>
      </c>
      <c r="Q193" s="741">
        <v>15</v>
      </c>
      <c r="R193" s="674">
        <f t="shared" si="33"/>
        <v>1651.57</v>
      </c>
      <c r="S193" s="742">
        <v>50</v>
      </c>
      <c r="T193" s="678">
        <f t="shared" si="34"/>
        <v>5505.23</v>
      </c>
      <c r="U193" s="679">
        <f t="shared" si="35"/>
        <v>18167.259999999998</v>
      </c>
      <c r="V193" s="678">
        <f t="shared" si="36"/>
        <v>2259.61</v>
      </c>
      <c r="W193" s="815">
        <f t="shared" si="40"/>
        <v>20426.87</v>
      </c>
      <c r="X193" s="743">
        <f t="shared" si="39"/>
        <v>17771.376899999999</v>
      </c>
      <c r="Y193" s="750"/>
      <c r="Z193" s="784" t="s">
        <v>1291</v>
      </c>
      <c r="AA193" s="750">
        <f t="shared" si="38"/>
        <v>20014.5</v>
      </c>
      <c r="AB193" s="811"/>
    </row>
    <row r="194" spans="1:28" s="646" customFormat="1" ht="17.25" customHeight="1" x14ac:dyDescent="0.25">
      <c r="A194" s="1029"/>
      <c r="B194" s="782"/>
      <c r="C194" s="783" t="s">
        <v>1236</v>
      </c>
      <c r="D194" s="739">
        <v>1</v>
      </c>
      <c r="E194" s="740" t="s">
        <v>1067</v>
      </c>
      <c r="F194" s="727" t="s">
        <v>1032</v>
      </c>
      <c r="G194" s="675">
        <v>5200</v>
      </c>
      <c r="H194" s="674">
        <f t="shared" si="37"/>
        <v>5423.5999999999995</v>
      </c>
      <c r="I194" s="675">
        <v>0.01</v>
      </c>
      <c r="J194" s="675">
        <f t="shared" si="29"/>
        <v>54.24</v>
      </c>
      <c r="K194" s="675">
        <v>0.38</v>
      </c>
      <c r="L194" s="674">
        <f t="shared" si="30"/>
        <v>2081.58</v>
      </c>
      <c r="M194" s="741">
        <v>15</v>
      </c>
      <c r="N194" s="674">
        <f t="shared" si="31"/>
        <v>821.68</v>
      </c>
      <c r="O194" s="741">
        <v>24</v>
      </c>
      <c r="P194" s="674">
        <f t="shared" si="32"/>
        <v>1314.68</v>
      </c>
      <c r="Q194" s="741">
        <v>15</v>
      </c>
      <c r="R194" s="674">
        <f t="shared" si="33"/>
        <v>1454.37</v>
      </c>
      <c r="S194" s="742">
        <v>50</v>
      </c>
      <c r="T194" s="678">
        <f t="shared" si="34"/>
        <v>4847.8900000000003</v>
      </c>
      <c r="U194" s="679">
        <f t="shared" si="35"/>
        <v>15998.039999999997</v>
      </c>
      <c r="V194" s="678">
        <f t="shared" si="36"/>
        <v>2259.61</v>
      </c>
      <c r="W194" s="815">
        <f t="shared" si="40"/>
        <v>18257.649999999998</v>
      </c>
      <c r="X194" s="743">
        <f t="shared" si="39"/>
        <v>15884.155499999997</v>
      </c>
      <c r="Y194" s="750"/>
      <c r="Z194" s="784" t="s">
        <v>1251</v>
      </c>
      <c r="AA194" s="750">
        <f t="shared" si="38"/>
        <v>20014.5</v>
      </c>
      <c r="AB194" s="811">
        <f>AA194-W194</f>
        <v>1756.8500000000022</v>
      </c>
    </row>
    <row r="195" spans="1:28" s="646" customFormat="1" ht="17.25" customHeight="1" thickBot="1" x14ac:dyDescent="0.3">
      <c r="A195" s="1030"/>
      <c r="B195" s="785"/>
      <c r="C195" s="711" t="s">
        <v>1236</v>
      </c>
      <c r="D195" s="712">
        <v>1</v>
      </c>
      <c r="E195" s="713" t="s">
        <v>1067</v>
      </c>
      <c r="F195" s="759" t="s">
        <v>1032</v>
      </c>
      <c r="G195" s="714">
        <v>5200</v>
      </c>
      <c r="H195" s="715">
        <f t="shared" si="37"/>
        <v>5423.5999999999995</v>
      </c>
      <c r="I195" s="714">
        <v>0.01</v>
      </c>
      <c r="J195" s="714">
        <f t="shared" si="29"/>
        <v>54.24</v>
      </c>
      <c r="K195" s="714">
        <v>0.23</v>
      </c>
      <c r="L195" s="715">
        <f t="shared" si="30"/>
        <v>1259.9000000000001</v>
      </c>
      <c r="M195" s="716">
        <v>15</v>
      </c>
      <c r="N195" s="715">
        <f t="shared" si="31"/>
        <v>821.68</v>
      </c>
      <c r="O195" s="716">
        <v>24</v>
      </c>
      <c r="P195" s="715">
        <f t="shared" si="32"/>
        <v>1314.68</v>
      </c>
      <c r="Q195" s="716">
        <v>15</v>
      </c>
      <c r="R195" s="715">
        <f t="shared" si="33"/>
        <v>1331.12</v>
      </c>
      <c r="S195" s="717">
        <v>50</v>
      </c>
      <c r="T195" s="718">
        <f t="shared" si="34"/>
        <v>4437.05</v>
      </c>
      <c r="U195" s="719">
        <f t="shared" si="35"/>
        <v>14642.27</v>
      </c>
      <c r="V195" s="718">
        <f t="shared" si="36"/>
        <v>2259.61</v>
      </c>
      <c r="W195" s="818">
        <f t="shared" si="40"/>
        <v>16901.88</v>
      </c>
      <c r="X195" s="720">
        <f t="shared" si="39"/>
        <v>14704.635600000001</v>
      </c>
      <c r="Y195" s="760"/>
      <c r="Z195" s="722" t="s">
        <v>1252</v>
      </c>
      <c r="AA195" s="760">
        <f t="shared" si="38"/>
        <v>20014.5</v>
      </c>
      <c r="AB195" s="776">
        <f>AA195-W195</f>
        <v>3112.619999999999</v>
      </c>
    </row>
    <row r="196" spans="1:28" s="646" customFormat="1" ht="16.5" customHeight="1" x14ac:dyDescent="0.25">
      <c r="A196" s="1028" t="s">
        <v>1253</v>
      </c>
      <c r="B196" s="779"/>
      <c r="C196" s="780" t="s">
        <v>1254</v>
      </c>
      <c r="D196" s="697">
        <v>1</v>
      </c>
      <c r="E196" s="698"/>
      <c r="F196" s="752" t="s">
        <v>1117</v>
      </c>
      <c r="G196" s="700">
        <v>7800</v>
      </c>
      <c r="H196" s="701">
        <f t="shared" si="37"/>
        <v>8135.4</v>
      </c>
      <c r="I196" s="700">
        <v>0.01</v>
      </c>
      <c r="J196" s="700">
        <f t="shared" si="29"/>
        <v>81.349999999999994</v>
      </c>
      <c r="K196" s="700">
        <v>0.53</v>
      </c>
      <c r="L196" s="701">
        <f t="shared" si="30"/>
        <v>4354.88</v>
      </c>
      <c r="M196" s="702">
        <v>15</v>
      </c>
      <c r="N196" s="701">
        <f t="shared" si="31"/>
        <v>1232.51</v>
      </c>
      <c r="O196" s="702">
        <v>24</v>
      </c>
      <c r="P196" s="701">
        <f t="shared" si="32"/>
        <v>1972.02</v>
      </c>
      <c r="Q196" s="702">
        <v>15</v>
      </c>
      <c r="R196" s="701">
        <f t="shared" si="33"/>
        <v>2366.42</v>
      </c>
      <c r="S196" s="703">
        <v>50</v>
      </c>
      <c r="T196" s="704">
        <f t="shared" si="34"/>
        <v>7888.08</v>
      </c>
      <c r="U196" s="705">
        <f t="shared" si="35"/>
        <v>26030.660000000003</v>
      </c>
      <c r="V196" s="704">
        <f t="shared" si="36"/>
        <v>3389.41</v>
      </c>
      <c r="W196" s="817">
        <f t="shared" si="40"/>
        <v>29420.070000000003</v>
      </c>
      <c r="X196" s="706">
        <f>-W196*13/100+U196+V196</f>
        <v>25595.460900000002</v>
      </c>
      <c r="Y196" s="746"/>
      <c r="Z196" s="708" t="s">
        <v>1255</v>
      </c>
      <c r="AA196" s="746">
        <f t="shared" si="38"/>
        <v>20014.5</v>
      </c>
      <c r="AB196" s="810"/>
    </row>
    <row r="197" spans="1:28" s="646" customFormat="1" ht="16.5" customHeight="1" x14ac:dyDescent="0.25">
      <c r="A197" s="1029"/>
      <c r="B197" s="782"/>
      <c r="C197" s="783" t="s">
        <v>1120</v>
      </c>
      <c r="D197" s="739">
        <v>1</v>
      </c>
      <c r="E197" s="740" t="s">
        <v>1061</v>
      </c>
      <c r="F197" s="727" t="s">
        <v>1117</v>
      </c>
      <c r="G197" s="675">
        <v>6136</v>
      </c>
      <c r="H197" s="674">
        <f t="shared" si="37"/>
        <v>6399.848</v>
      </c>
      <c r="I197" s="675">
        <v>0.03</v>
      </c>
      <c r="J197" s="675">
        <f t="shared" si="29"/>
        <v>192</v>
      </c>
      <c r="K197" s="675">
        <v>0.6</v>
      </c>
      <c r="L197" s="674">
        <f t="shared" si="30"/>
        <v>3955.11</v>
      </c>
      <c r="M197" s="741">
        <v>15</v>
      </c>
      <c r="N197" s="674">
        <f t="shared" si="31"/>
        <v>988.78</v>
      </c>
      <c r="O197" s="741">
        <v>24</v>
      </c>
      <c r="P197" s="674">
        <f t="shared" si="32"/>
        <v>1582.04</v>
      </c>
      <c r="Q197" s="741">
        <v>15</v>
      </c>
      <c r="R197" s="674">
        <f t="shared" si="33"/>
        <v>1967.67</v>
      </c>
      <c r="S197" s="742">
        <v>50</v>
      </c>
      <c r="T197" s="678">
        <f t="shared" si="34"/>
        <v>6558.89</v>
      </c>
      <c r="U197" s="679">
        <f t="shared" si="35"/>
        <v>21644.338000000003</v>
      </c>
      <c r="V197" s="678">
        <f t="shared" si="36"/>
        <v>2719.14</v>
      </c>
      <c r="W197" s="815">
        <f>U197+V197</f>
        <v>24363.478000000003</v>
      </c>
      <c r="X197" s="743">
        <f t="shared" si="39"/>
        <v>21196.225860000002</v>
      </c>
      <c r="Y197" s="750"/>
      <c r="Z197" s="755"/>
      <c r="AA197" s="750">
        <f t="shared" si="38"/>
        <v>20014.5</v>
      </c>
      <c r="AB197" s="811"/>
    </row>
    <row r="198" spans="1:28" s="646" customFormat="1" ht="16.5" customHeight="1" x14ac:dyDescent="0.25">
      <c r="A198" s="1029"/>
      <c r="B198" s="782"/>
      <c r="C198" s="783" t="s">
        <v>1133</v>
      </c>
      <c r="D198" s="739">
        <v>1</v>
      </c>
      <c r="E198" s="740" t="s">
        <v>1054</v>
      </c>
      <c r="F198" s="727" t="s">
        <v>1117</v>
      </c>
      <c r="G198" s="675">
        <v>6760</v>
      </c>
      <c r="H198" s="674">
        <f>G198*$H$13</f>
        <v>7050.6799999999994</v>
      </c>
      <c r="I198" s="675">
        <v>0.04</v>
      </c>
      <c r="J198" s="675">
        <f t="shared" si="29"/>
        <v>282.02999999999997</v>
      </c>
      <c r="K198" s="675">
        <v>1.08</v>
      </c>
      <c r="L198" s="674">
        <f t="shared" si="30"/>
        <v>7919.33</v>
      </c>
      <c r="M198" s="741">
        <v>15</v>
      </c>
      <c r="N198" s="674">
        <f t="shared" si="31"/>
        <v>1099.9100000000001</v>
      </c>
      <c r="O198" s="741">
        <v>24</v>
      </c>
      <c r="P198" s="674">
        <f t="shared" si="32"/>
        <v>1759.85</v>
      </c>
      <c r="Q198" s="741">
        <v>15</v>
      </c>
      <c r="R198" s="674">
        <f t="shared" si="33"/>
        <v>2716.77</v>
      </c>
      <c r="S198" s="742">
        <v>50</v>
      </c>
      <c r="T198" s="678">
        <f t="shared" si="34"/>
        <v>9055.9</v>
      </c>
      <c r="U198" s="679">
        <f t="shared" si="35"/>
        <v>29884.47</v>
      </c>
      <c r="V198" s="678">
        <f t="shared" si="36"/>
        <v>3024.74</v>
      </c>
      <c r="W198" s="815">
        <f t="shared" si="40"/>
        <v>32909.21</v>
      </c>
      <c r="X198" s="743">
        <f t="shared" si="39"/>
        <v>28631.012699999999</v>
      </c>
      <c r="Y198" s="750"/>
      <c r="Z198" s="755" t="s">
        <v>1121</v>
      </c>
      <c r="AA198" s="750">
        <f t="shared" si="38"/>
        <v>20014.5</v>
      </c>
      <c r="AB198" s="811"/>
    </row>
    <row r="199" spans="1:28" s="646" customFormat="1" ht="16.5" customHeight="1" x14ac:dyDescent="0.25">
      <c r="A199" s="1029"/>
      <c r="B199" s="782"/>
      <c r="C199" s="783" t="s">
        <v>1139</v>
      </c>
      <c r="D199" s="739">
        <v>1</v>
      </c>
      <c r="E199" s="740" t="s">
        <v>1067</v>
      </c>
      <c r="F199" s="727" t="s">
        <v>1117</v>
      </c>
      <c r="G199" s="675">
        <v>5200</v>
      </c>
      <c r="H199" s="674">
        <f t="shared" si="37"/>
        <v>5423.5999999999995</v>
      </c>
      <c r="I199" s="675">
        <v>0.01</v>
      </c>
      <c r="J199" s="675">
        <f t="shared" si="29"/>
        <v>54.24</v>
      </c>
      <c r="K199" s="675">
        <v>1.0900000000000001</v>
      </c>
      <c r="L199" s="674">
        <f t="shared" si="30"/>
        <v>5970.85</v>
      </c>
      <c r="M199" s="741">
        <v>15</v>
      </c>
      <c r="N199" s="674">
        <f t="shared" si="31"/>
        <v>821.68</v>
      </c>
      <c r="O199" s="741">
        <v>24</v>
      </c>
      <c r="P199" s="674">
        <f t="shared" si="32"/>
        <v>1314.68</v>
      </c>
      <c r="Q199" s="741">
        <v>15</v>
      </c>
      <c r="R199" s="674">
        <f t="shared" si="33"/>
        <v>2037.76</v>
      </c>
      <c r="S199" s="742">
        <v>50</v>
      </c>
      <c r="T199" s="678">
        <f t="shared" si="34"/>
        <v>6792.53</v>
      </c>
      <c r="U199" s="679">
        <f t="shared" si="35"/>
        <v>22415.34</v>
      </c>
      <c r="V199" s="678">
        <f t="shared" si="36"/>
        <v>2259.61</v>
      </c>
      <c r="W199" s="815">
        <f t="shared" si="40"/>
        <v>24674.95</v>
      </c>
      <c r="X199" s="743">
        <f t="shared" si="39"/>
        <v>21467.2065</v>
      </c>
      <c r="Y199" s="756"/>
      <c r="Z199" s="755" t="s">
        <v>1293</v>
      </c>
      <c r="AA199" s="750">
        <f t="shared" si="38"/>
        <v>20014.5</v>
      </c>
      <c r="AB199" s="811"/>
    </row>
    <row r="200" spans="1:28" s="646" customFormat="1" ht="16.5" customHeight="1" x14ac:dyDescent="0.25">
      <c r="A200" s="1029"/>
      <c r="B200" s="782"/>
      <c r="C200" s="783" t="s">
        <v>1236</v>
      </c>
      <c r="D200" s="739">
        <v>1</v>
      </c>
      <c r="E200" s="740" t="s">
        <v>1067</v>
      </c>
      <c r="F200" s="727" t="s">
        <v>1032</v>
      </c>
      <c r="G200" s="675">
        <v>5200</v>
      </c>
      <c r="H200" s="674">
        <f t="shared" si="37"/>
        <v>5423.5999999999995</v>
      </c>
      <c r="I200" s="675">
        <v>0.01</v>
      </c>
      <c r="J200" s="675">
        <f t="shared" si="29"/>
        <v>54.24</v>
      </c>
      <c r="K200" s="675">
        <v>0.15</v>
      </c>
      <c r="L200" s="674">
        <f t="shared" si="30"/>
        <v>821.68</v>
      </c>
      <c r="M200" s="741">
        <v>15</v>
      </c>
      <c r="N200" s="674">
        <f t="shared" si="31"/>
        <v>821.68</v>
      </c>
      <c r="O200" s="741">
        <v>24</v>
      </c>
      <c r="P200" s="674">
        <f t="shared" si="32"/>
        <v>1314.68</v>
      </c>
      <c r="Q200" s="741">
        <v>15</v>
      </c>
      <c r="R200" s="674">
        <f t="shared" si="33"/>
        <v>1265.3800000000001</v>
      </c>
      <c r="S200" s="742">
        <v>50</v>
      </c>
      <c r="T200" s="678">
        <f t="shared" si="34"/>
        <v>4217.9399999999996</v>
      </c>
      <c r="U200" s="679">
        <f t="shared" si="35"/>
        <v>13919.199999999997</v>
      </c>
      <c r="V200" s="678">
        <f t="shared" si="36"/>
        <v>2259.61</v>
      </c>
      <c r="W200" s="815">
        <f t="shared" si="40"/>
        <v>16178.809999999998</v>
      </c>
      <c r="X200" s="743">
        <f t="shared" si="39"/>
        <v>14075.564699999999</v>
      </c>
      <c r="Y200" s="750"/>
      <c r="Z200" s="784" t="s">
        <v>1292</v>
      </c>
      <c r="AA200" s="750">
        <f t="shared" si="38"/>
        <v>20014.5</v>
      </c>
      <c r="AB200" s="811">
        <f>AA200-W200</f>
        <v>3835.6900000000023</v>
      </c>
    </row>
    <row r="201" spans="1:28" s="646" customFormat="1" ht="17.25" customHeight="1" thickBot="1" x14ac:dyDescent="0.3">
      <c r="A201" s="1030"/>
      <c r="B201" s="785"/>
      <c r="C201" s="711" t="s">
        <v>1236</v>
      </c>
      <c r="D201" s="712">
        <v>1</v>
      </c>
      <c r="E201" s="713" t="s">
        <v>1067</v>
      </c>
      <c r="F201" s="759" t="s">
        <v>1032</v>
      </c>
      <c r="G201" s="714">
        <v>5200</v>
      </c>
      <c r="H201" s="715">
        <f t="shared" si="37"/>
        <v>5423.5999999999995</v>
      </c>
      <c r="I201" s="714">
        <v>0.01</v>
      </c>
      <c r="J201" s="714">
        <f t="shared" si="29"/>
        <v>54.24</v>
      </c>
      <c r="K201" s="714">
        <v>0.35</v>
      </c>
      <c r="L201" s="715">
        <f t="shared" si="30"/>
        <v>1917.24</v>
      </c>
      <c r="M201" s="716">
        <v>15</v>
      </c>
      <c r="N201" s="715">
        <f t="shared" si="31"/>
        <v>821.68</v>
      </c>
      <c r="O201" s="716">
        <v>24</v>
      </c>
      <c r="P201" s="715">
        <f t="shared" si="32"/>
        <v>1314.68</v>
      </c>
      <c r="Q201" s="716">
        <v>15</v>
      </c>
      <c r="R201" s="715">
        <f t="shared" si="33"/>
        <v>1429.72</v>
      </c>
      <c r="S201" s="717">
        <v>50</v>
      </c>
      <c r="T201" s="718">
        <f t="shared" si="34"/>
        <v>4765.72</v>
      </c>
      <c r="U201" s="719">
        <f t="shared" si="35"/>
        <v>15726.879999999997</v>
      </c>
      <c r="V201" s="718">
        <f>ROUND(((H201+J201)*0.25/100*(Q201+S201+100)),2)</f>
        <v>2259.61</v>
      </c>
      <c r="W201" s="818">
        <f t="shared" si="40"/>
        <v>17986.489999999998</v>
      </c>
      <c r="X201" s="720">
        <f t="shared" si="39"/>
        <v>15648.246299999999</v>
      </c>
      <c r="Y201" s="760"/>
      <c r="Z201" s="786"/>
      <c r="AA201" s="760">
        <f t="shared" si="38"/>
        <v>20014.5</v>
      </c>
      <c r="AB201" s="776">
        <f>AA201-W201</f>
        <v>2028.010000000002</v>
      </c>
    </row>
    <row r="202" spans="1:28" ht="18.75" x14ac:dyDescent="0.25">
      <c r="A202" s="787" t="s">
        <v>937</v>
      </c>
      <c r="B202" s="788"/>
      <c r="C202" s="787"/>
      <c r="D202" s="789">
        <f>SUM(D19:D201)</f>
        <v>183</v>
      </c>
      <c r="E202" s="789"/>
      <c r="F202" s="789"/>
      <c r="G202" s="790">
        <f>SUM(G19:G201)</f>
        <v>1336210</v>
      </c>
      <c r="H202" s="790">
        <f>SUM(H19:H201)</f>
        <v>1393667.0300000007</v>
      </c>
      <c r="I202" s="790"/>
      <c r="J202" s="791">
        <f>SUM(J19:J201)</f>
        <v>30579.779999999992</v>
      </c>
      <c r="K202" s="790"/>
      <c r="L202" s="791">
        <f>SUM(L19:L201)</f>
        <v>976556.0899999995</v>
      </c>
      <c r="M202" s="790"/>
      <c r="N202" s="791">
        <f>SUM(N19:N201)</f>
        <v>213637.43999999994</v>
      </c>
      <c r="O202" s="790"/>
      <c r="P202" s="791">
        <f>SUM(P19:P201)</f>
        <v>88556.459999999977</v>
      </c>
      <c r="Q202" s="790"/>
      <c r="R202" s="791">
        <f>SUM(R19:R201)</f>
        <v>480257.49</v>
      </c>
      <c r="S202" s="790"/>
      <c r="T202" s="790">
        <f>SUM(T19:T201)</f>
        <v>1400820.9499999997</v>
      </c>
      <c r="U202" s="790">
        <f>SUM(U19:U201)</f>
        <v>4584075.2399999993</v>
      </c>
      <c r="V202" s="790">
        <f>SUM(V19:V201)</f>
        <v>606034.74999999965</v>
      </c>
      <c r="W202" s="820">
        <f>SUM(W19:W201)</f>
        <v>5190109.99</v>
      </c>
      <c r="X202" s="792"/>
      <c r="Y202" s="643">
        <f>SUM(W78:W201)</f>
        <v>3322313.3820000007</v>
      </c>
      <c r="Z202" s="640" t="s">
        <v>402</v>
      </c>
      <c r="AB202" s="744">
        <f>SUM(AB19:AB201)</f>
        <v>156114.91200000007</v>
      </c>
    </row>
    <row r="203" spans="1:28" x14ac:dyDescent="0.25">
      <c r="B203" s="793"/>
      <c r="C203" s="794"/>
      <c r="G203" s="643"/>
      <c r="H203" s="643">
        <f>H202-G202</f>
        <v>57457.030000000726</v>
      </c>
      <c r="I203" s="643"/>
      <c r="O203" s="643"/>
      <c r="S203" s="795"/>
      <c r="U203" s="640"/>
      <c r="W203" s="822">
        <f>W174+W168+W163+W154+W149+W141+W135+W134+W131+W125+W120+W94+W32+W31+W30+W29+W28</f>
        <v>262716.10599999997</v>
      </c>
      <c r="Y203" s="643"/>
      <c r="Z203" s="643">
        <f>SUM(AB78:AB201)</f>
        <v>116130.97800000006</v>
      </c>
      <c r="AB203" s="643">
        <f>AB174+AB168+AB163+AB154+AB149+AB141+AB135+AB134+AB131+AB125+AB120+AB94+AB81+AB32+AB31+AB30+AB29+AB28</f>
        <v>108792.80200000004</v>
      </c>
    </row>
    <row r="204" spans="1:28" hidden="1" outlineLevel="1" x14ac:dyDescent="0.25">
      <c r="A204" s="793" t="s">
        <v>1022</v>
      </c>
      <c r="G204" s="640" t="s">
        <v>1256</v>
      </c>
      <c r="K204" s="793" t="s">
        <v>1257</v>
      </c>
      <c r="S204" s="795"/>
      <c r="U204" s="640"/>
      <c r="W204" s="821"/>
    </row>
    <row r="205" spans="1:28" hidden="1" outlineLevel="1" x14ac:dyDescent="0.25">
      <c r="A205" s="640" t="s">
        <v>1258</v>
      </c>
      <c r="G205" s="640" t="s">
        <v>1259</v>
      </c>
      <c r="K205" s="640" t="s">
        <v>1260</v>
      </c>
      <c r="S205" s="795"/>
      <c r="U205" s="640"/>
    </row>
    <row r="206" spans="1:28" hidden="1" outlineLevel="1" x14ac:dyDescent="0.25">
      <c r="U206" s="640"/>
      <c r="W206" s="822"/>
    </row>
    <row r="207" spans="1:28" hidden="1" outlineLevel="1" x14ac:dyDescent="0.25">
      <c r="B207" s="793"/>
      <c r="K207" s="793"/>
      <c r="U207" s="640"/>
    </row>
    <row r="208" spans="1:28" hidden="1" outlineLevel="1" x14ac:dyDescent="0.25">
      <c r="A208" s="793" t="s">
        <v>151</v>
      </c>
      <c r="G208" s="640" t="s">
        <v>1256</v>
      </c>
      <c r="K208" s="796" t="s">
        <v>1261</v>
      </c>
      <c r="L208" s="797"/>
      <c r="W208" s="822">
        <f>W209-W210</f>
        <v>2304926.5799040124</v>
      </c>
    </row>
    <row r="209" spans="1:26" hidden="1" outlineLevel="1" x14ac:dyDescent="0.25">
      <c r="A209" s="640" t="s">
        <v>1258</v>
      </c>
      <c r="G209" s="640" t="s">
        <v>1259</v>
      </c>
      <c r="K209" s="640" t="s">
        <v>1260</v>
      </c>
      <c r="W209" s="822">
        <v>64586246.459904015</v>
      </c>
    </row>
    <row r="210" spans="1:26" ht="18.75" hidden="1" outlineLevel="1" x14ac:dyDescent="0.25">
      <c r="V210" s="646" t="s">
        <v>1262</v>
      </c>
      <c r="W210" s="823">
        <f>W202*12</f>
        <v>62281319.880000003</v>
      </c>
      <c r="X210" s="643">
        <f>W21+W34+W35</f>
        <v>125051.12</v>
      </c>
      <c r="Y210" s="643">
        <f>W210-X211</f>
        <v>60780706.440000005</v>
      </c>
    </row>
    <row r="211" spans="1:26" hidden="1" outlineLevel="1" x14ac:dyDescent="0.25">
      <c r="V211" s="640" t="s">
        <v>1263</v>
      </c>
      <c r="W211" s="822"/>
      <c r="X211" s="643">
        <f>X210*12</f>
        <v>1500613.44</v>
      </c>
      <c r="Y211" s="643">
        <f>Y212+Y217</f>
        <v>51913530.738881283</v>
      </c>
      <c r="Z211" s="643">
        <f>Y211*1.04</f>
        <v>53990071.968436539</v>
      </c>
    </row>
    <row r="212" spans="1:26" ht="15.75" hidden="1" outlineLevel="1" x14ac:dyDescent="0.25">
      <c r="V212" s="642" t="s">
        <v>1264</v>
      </c>
      <c r="W212" s="824">
        <f>W210*65.6/100</f>
        <v>40856545.841279998</v>
      </c>
      <c r="X212" s="798"/>
      <c r="Y212" s="798">
        <f>Y210*65.6/100</f>
        <v>39872143.42464</v>
      </c>
      <c r="Z212" s="643">
        <f>Z211/12</f>
        <v>4499172.6640363783</v>
      </c>
    </row>
    <row r="213" spans="1:26" ht="15.75" hidden="1" outlineLevel="1" x14ac:dyDescent="0.25">
      <c r="V213" s="642" t="s">
        <v>1265</v>
      </c>
      <c r="W213" s="824">
        <f>W210*34.4/100</f>
        <v>21424774.038720001</v>
      </c>
      <c r="Z213" s="643">
        <f>SUM(Z211:Z212)</f>
        <v>58489244.632472917</v>
      </c>
    </row>
    <row r="214" spans="1:26" hidden="1" outlineLevel="1" x14ac:dyDescent="0.25">
      <c r="W214" s="822"/>
      <c r="X214" s="643" t="s">
        <v>1266</v>
      </c>
      <c r="Z214" s="643">
        <v>55959500</v>
      </c>
    </row>
    <row r="215" spans="1:26" ht="17.25" hidden="1" outlineLevel="1" x14ac:dyDescent="0.25">
      <c r="V215" s="644" t="s">
        <v>1267</v>
      </c>
      <c r="W215" s="825">
        <f>W210*30.2/100</f>
        <v>18808958.60376</v>
      </c>
      <c r="Z215" s="643">
        <f>Z214-Z213</f>
        <v>-2529744.6324729174</v>
      </c>
    </row>
    <row r="216" spans="1:26" hidden="1" outlineLevel="1" x14ac:dyDescent="0.25">
      <c r="V216" s="640" t="s">
        <v>1263</v>
      </c>
      <c r="W216" s="822"/>
    </row>
    <row r="217" spans="1:26" ht="15.75" hidden="1" outlineLevel="1" x14ac:dyDescent="0.25">
      <c r="V217" s="653" t="s">
        <v>1264</v>
      </c>
      <c r="W217" s="824">
        <f>W212*30.2/100</f>
        <v>12338676.84406656</v>
      </c>
      <c r="X217" s="798">
        <f>X212*30.2/100</f>
        <v>0</v>
      </c>
      <c r="Y217" s="798">
        <f>Y212*30.2/100</f>
        <v>12041387.314241281</v>
      </c>
    </row>
    <row r="218" spans="1:26" ht="15.75" hidden="1" outlineLevel="1" x14ac:dyDescent="0.25">
      <c r="V218" s="653" t="s">
        <v>1265</v>
      </c>
      <c r="W218" s="824">
        <f>W213*30.2/100</f>
        <v>6470281.75969344</v>
      </c>
    </row>
    <row r="219" spans="1:26" hidden="1" outlineLevel="1" x14ac:dyDescent="0.25">
      <c r="W219" s="822"/>
    </row>
    <row r="220" spans="1:26" ht="18.75" hidden="1" outlineLevel="1" x14ac:dyDescent="0.25">
      <c r="V220" s="646" t="s">
        <v>74</v>
      </c>
      <c r="W220" s="825">
        <f>W210+W215</f>
        <v>81090278.483759999</v>
      </c>
    </row>
    <row r="221" spans="1:26" hidden="1" outlineLevel="1" x14ac:dyDescent="0.25">
      <c r="V221" s="640" t="s">
        <v>1263</v>
      </c>
      <c r="W221" s="822"/>
    </row>
    <row r="222" spans="1:26" ht="17.25" hidden="1" outlineLevel="1" x14ac:dyDescent="0.25">
      <c r="V222" s="642" t="s">
        <v>1264</v>
      </c>
      <c r="W222" s="825">
        <f>W212+W217</f>
        <v>53195222.685346559</v>
      </c>
    </row>
    <row r="223" spans="1:26" ht="17.25" hidden="1" outlineLevel="1" x14ac:dyDescent="0.25">
      <c r="V223" s="642" t="s">
        <v>1265</v>
      </c>
      <c r="W223" s="825">
        <f>W213+W218</f>
        <v>27895055.798413441</v>
      </c>
    </row>
    <row r="224" spans="1:26" collapsed="1" x14ac:dyDescent="0.25">
      <c r="W224" s="822"/>
      <c r="Y224" s="799" t="s">
        <v>1268</v>
      </c>
    </row>
    <row r="225" spans="1:26" x14ac:dyDescent="0.25">
      <c r="H225" s="643">
        <f>SUM(H226:H231)</f>
        <v>1350069.6299999997</v>
      </c>
      <c r="U225" s="643">
        <f>SUM(U226:U231)</f>
        <v>4477366.01</v>
      </c>
      <c r="V225" s="643">
        <f>SUM(V226:V231)</f>
        <v>587692.85999999964</v>
      </c>
      <c r="W225" s="822">
        <f>SUM(W226:W231)</f>
        <v>5065058.870000002</v>
      </c>
      <c r="Y225" s="799" t="s">
        <v>1269</v>
      </c>
    </row>
    <row r="226" spans="1:26" x14ac:dyDescent="0.25">
      <c r="A226" s="800" t="s">
        <v>1022</v>
      </c>
      <c r="B226" s="801"/>
      <c r="C226" s="802"/>
      <c r="D226" s="803">
        <f>D21</f>
        <v>1</v>
      </c>
      <c r="E226" s="802"/>
      <c r="F226" s="804"/>
      <c r="G226" s="805"/>
      <c r="H226" s="805">
        <f>H19</f>
        <v>35253.399999999994</v>
      </c>
      <c r="I226" s="805"/>
      <c r="J226" s="805">
        <f t="shared" ref="J226:X226" si="41">J19</f>
        <v>0</v>
      </c>
      <c r="K226" s="805"/>
      <c r="L226" s="805">
        <f t="shared" si="41"/>
        <v>0</v>
      </c>
      <c r="M226" s="805"/>
      <c r="N226" s="805">
        <f t="shared" si="41"/>
        <v>5288.01</v>
      </c>
      <c r="O226" s="805"/>
      <c r="P226" s="805">
        <f t="shared" si="41"/>
        <v>0</v>
      </c>
      <c r="Q226" s="805"/>
      <c r="R226" s="805">
        <f t="shared" si="41"/>
        <v>6081.21</v>
      </c>
      <c r="S226" s="805"/>
      <c r="T226" s="805">
        <f t="shared" si="41"/>
        <v>20270.71</v>
      </c>
      <c r="U226" s="805">
        <f t="shared" si="41"/>
        <v>66893.329999999987</v>
      </c>
      <c r="V226" s="805">
        <f t="shared" si="41"/>
        <v>14542.03</v>
      </c>
      <c r="W226" s="826">
        <f t="shared" si="41"/>
        <v>81435.359999999986</v>
      </c>
      <c r="X226" s="805">
        <f t="shared" si="41"/>
        <v>70848.763199999987</v>
      </c>
      <c r="Y226" s="643">
        <f>ROUND(H226/D226/12,2)</f>
        <v>2937.78</v>
      </c>
    </row>
    <row r="227" spans="1:26" x14ac:dyDescent="0.25">
      <c r="A227" s="800" t="s">
        <v>1270</v>
      </c>
      <c r="B227" s="801"/>
      <c r="C227" s="802"/>
      <c r="D227" s="803">
        <v>2</v>
      </c>
      <c r="E227" s="802"/>
      <c r="F227" s="804"/>
      <c r="G227" s="805"/>
      <c r="H227" s="805">
        <f>H20+H22</f>
        <v>51868.39</v>
      </c>
      <c r="I227" s="805"/>
      <c r="J227" s="805">
        <f t="shared" ref="J227:X227" si="42">J20+J22</f>
        <v>0</v>
      </c>
      <c r="K227" s="805"/>
      <c r="L227" s="805">
        <f t="shared" si="42"/>
        <v>0</v>
      </c>
      <c r="M227" s="805"/>
      <c r="N227" s="805">
        <f t="shared" si="42"/>
        <v>7780.26</v>
      </c>
      <c r="O227" s="805"/>
      <c r="P227" s="805">
        <f t="shared" si="42"/>
        <v>0</v>
      </c>
      <c r="Q227" s="805"/>
      <c r="R227" s="805">
        <f t="shared" si="42"/>
        <v>8947.2999999999993</v>
      </c>
      <c r="S227" s="805"/>
      <c r="T227" s="805">
        <f t="shared" si="42"/>
        <v>29824.329999999998</v>
      </c>
      <c r="U227" s="805">
        <f t="shared" si="42"/>
        <v>98420.28</v>
      </c>
      <c r="V227" s="805">
        <f t="shared" si="42"/>
        <v>21395.71</v>
      </c>
      <c r="W227" s="826">
        <f t="shared" si="42"/>
        <v>119815.98999999999</v>
      </c>
      <c r="X227" s="805">
        <f t="shared" si="42"/>
        <v>104239.91129999998</v>
      </c>
      <c r="Y227" s="643">
        <f t="shared" ref="Y227:Y232" si="43">ROUND(H227/D227/12,2)</f>
        <v>2161.1799999999998</v>
      </c>
    </row>
    <row r="228" spans="1:26" ht="25.5" x14ac:dyDescent="0.25">
      <c r="A228" s="800" t="s">
        <v>1271</v>
      </c>
      <c r="B228" s="801"/>
      <c r="C228" s="802"/>
      <c r="D228" s="803">
        <f>D63</f>
        <v>1</v>
      </c>
      <c r="E228" s="802"/>
      <c r="F228" s="804"/>
      <c r="G228" s="805"/>
      <c r="H228" s="805">
        <f>H63</f>
        <v>27497.651999999998</v>
      </c>
      <c r="I228" s="805"/>
      <c r="J228" s="805">
        <f t="shared" ref="J228:X228" si="44">J63</f>
        <v>0</v>
      </c>
      <c r="K228" s="805"/>
      <c r="L228" s="805">
        <f t="shared" si="44"/>
        <v>0</v>
      </c>
      <c r="M228" s="805"/>
      <c r="N228" s="805">
        <f t="shared" si="44"/>
        <v>4124.6499999999996</v>
      </c>
      <c r="O228" s="805"/>
      <c r="P228" s="805">
        <f t="shared" si="44"/>
        <v>0</v>
      </c>
      <c r="Q228" s="805"/>
      <c r="R228" s="805">
        <f t="shared" si="44"/>
        <v>4743.3500000000004</v>
      </c>
      <c r="S228" s="805"/>
      <c r="T228" s="805">
        <f t="shared" si="44"/>
        <v>15811.15</v>
      </c>
      <c r="U228" s="805">
        <f t="shared" si="44"/>
        <v>52176.801999999996</v>
      </c>
      <c r="V228" s="805">
        <f t="shared" si="44"/>
        <v>11342.78</v>
      </c>
      <c r="W228" s="826">
        <f t="shared" si="44"/>
        <v>63519.581999999995</v>
      </c>
      <c r="X228" s="805">
        <f t="shared" si="44"/>
        <v>55262.036339999999</v>
      </c>
      <c r="Y228" s="643">
        <f t="shared" si="43"/>
        <v>2291.4699999999998</v>
      </c>
    </row>
    <row r="229" spans="1:26" x14ac:dyDescent="0.25">
      <c r="A229" s="806" t="s">
        <v>157</v>
      </c>
      <c r="B229" s="801"/>
      <c r="C229" s="727" t="s">
        <v>1117</v>
      </c>
      <c r="D229" s="802">
        <f>SUMIF($F$19:$F$201,$F$229,D19:D201)</f>
        <v>99</v>
      </c>
      <c r="E229" s="802"/>
      <c r="F229" s="727" t="s">
        <v>1117</v>
      </c>
      <c r="G229" s="805"/>
      <c r="H229" s="805">
        <f>SUMIF($F$23:$F$201,$F229,H$23:H$201)</f>
        <v>723833.65600000008</v>
      </c>
      <c r="I229" s="805"/>
      <c r="J229" s="805">
        <f>SUMIF($F$23:$F$201,$F229,J$23:J$201)</f>
        <v>17812.380000000005</v>
      </c>
      <c r="K229" s="805"/>
      <c r="L229" s="805">
        <f>SUMIF($F$23:$F$201,$F229,L$23:L$201)</f>
        <v>563319.79999999993</v>
      </c>
      <c r="M229" s="805"/>
      <c r="N229" s="805">
        <f>SUMIF($F$23:$F$201,$F229,N$23:N$201)</f>
        <v>111247.21999999999</v>
      </c>
      <c r="O229" s="805"/>
      <c r="P229" s="805">
        <f>SUMIF($F$23:$F$201,$F229,P$23:P$201)</f>
        <v>71603.629999999976</v>
      </c>
      <c r="Q229" s="805"/>
      <c r="R229" s="805">
        <f>SUMIF($F$23:$F$201,$F229,R$23:R$201)</f>
        <v>277184.65000000002</v>
      </c>
      <c r="S229" s="805"/>
      <c r="T229" s="805">
        <f t="shared" ref="T229:X230" si="45">SUMIF($F$23:$F$201,$F229,T$23:T$201)</f>
        <v>775230.20999999973</v>
      </c>
      <c r="U229" s="805">
        <f t="shared" si="45"/>
        <v>2540231.5459999996</v>
      </c>
      <c r="V229" s="805">
        <f t="shared" si="45"/>
        <v>319363.42999999993</v>
      </c>
      <c r="W229" s="826">
        <f t="shared" si="45"/>
        <v>2859594.9760000007</v>
      </c>
      <c r="X229" s="805">
        <f t="shared" si="45"/>
        <v>2487847.6291200002</v>
      </c>
      <c r="Y229" s="643">
        <f>ROUND(H229/D229/12,2)</f>
        <v>609.29</v>
      </c>
    </row>
    <row r="230" spans="1:26" x14ac:dyDescent="0.25">
      <c r="A230" s="806" t="s">
        <v>1272</v>
      </c>
      <c r="B230" s="801"/>
      <c r="C230" s="727" t="s">
        <v>1032</v>
      </c>
      <c r="D230" s="802">
        <f>SUMIF($F$19:$F$201,F230,D19:D201)</f>
        <v>74</v>
      </c>
      <c r="E230" s="802"/>
      <c r="F230" s="727" t="s">
        <v>1032</v>
      </c>
      <c r="G230" s="805"/>
      <c r="H230" s="805">
        <f>SUMIF($F$23:$F$201,$F230,H$23:H$201)</f>
        <v>497732.11599999963</v>
      </c>
      <c r="I230" s="805"/>
      <c r="J230" s="805">
        <f>SUMIF($F$23:$F$201,$F230,J$23:J$201)</f>
        <v>11760.779999999995</v>
      </c>
      <c r="K230" s="805"/>
      <c r="L230" s="805">
        <f>SUMIF($F$23:$F$201,$F230,L$23:L$201)</f>
        <v>383255.61999999976</v>
      </c>
      <c r="M230" s="805"/>
      <c r="N230" s="805">
        <f>SUMIF($F$23:$F$201,$F230,N$23:N$201)</f>
        <v>76424.03</v>
      </c>
      <c r="O230" s="805"/>
      <c r="P230" s="805">
        <f>SUMIF($F$23:$F$201,$F230,P$23:P$201)</f>
        <v>16952.829999999998</v>
      </c>
      <c r="Q230" s="805"/>
      <c r="R230" s="805">
        <f>SUMIF($F$23:$F$201,$F230,R$23:R$201)</f>
        <v>168714.61999999997</v>
      </c>
      <c r="S230" s="805"/>
      <c r="T230" s="805">
        <f t="shared" si="45"/>
        <v>511063.36</v>
      </c>
      <c r="U230" s="805">
        <f t="shared" si="45"/>
        <v>1665903.3560000008</v>
      </c>
      <c r="V230" s="805">
        <f t="shared" si="45"/>
        <v>215264.31999999975</v>
      </c>
      <c r="W230" s="826">
        <f t="shared" si="45"/>
        <v>1881167.6760000011</v>
      </c>
      <c r="X230" s="805">
        <f t="shared" si="45"/>
        <v>1636615.8781199995</v>
      </c>
      <c r="Y230" s="643">
        <f t="shared" si="43"/>
        <v>560.51</v>
      </c>
    </row>
    <row r="231" spans="1:26" x14ac:dyDescent="0.25">
      <c r="A231" s="807" t="s">
        <v>1273</v>
      </c>
      <c r="B231" s="801"/>
      <c r="C231" s="763" t="s">
        <v>1043</v>
      </c>
      <c r="D231" s="808">
        <f>SUMIF($F$19:$F$202,F231,D22:D205)</f>
        <v>3</v>
      </c>
      <c r="E231" s="808"/>
      <c r="F231" s="763" t="s">
        <v>1043</v>
      </c>
      <c r="G231" s="805"/>
      <c r="H231" s="805">
        <f t="shared" ref="H231:W231" si="46">SUMIF($F$23:$F$201,$F231,H$23:H$201)</f>
        <v>13884.415999999997</v>
      </c>
      <c r="I231" s="805"/>
      <c r="J231" s="805">
        <f t="shared" si="46"/>
        <v>138.84</v>
      </c>
      <c r="K231" s="805"/>
      <c r="L231" s="805">
        <f t="shared" si="46"/>
        <v>16443.370000000003</v>
      </c>
      <c r="M231" s="805"/>
      <c r="N231" s="805">
        <f t="shared" si="46"/>
        <v>2103.5</v>
      </c>
      <c r="O231" s="805"/>
      <c r="P231" s="805">
        <f t="shared" si="46"/>
        <v>0</v>
      </c>
      <c r="Q231" s="805"/>
      <c r="R231" s="805">
        <f t="shared" si="46"/>
        <v>4885.51</v>
      </c>
      <c r="S231" s="805"/>
      <c r="T231" s="805">
        <f t="shared" si="46"/>
        <v>16285.06</v>
      </c>
      <c r="U231" s="805">
        <f t="shared" si="46"/>
        <v>53740.695999999996</v>
      </c>
      <c r="V231" s="805">
        <f t="shared" si="46"/>
        <v>5784.59</v>
      </c>
      <c r="W231" s="826">
        <f t="shared" si="46"/>
        <v>59525.286</v>
      </c>
      <c r="X231" s="805">
        <f>SUMIF($F$23:$F$201,$F231,X$23:X$201)</f>
        <v>51786.998820000001</v>
      </c>
      <c r="Y231" s="643">
        <f t="shared" si="43"/>
        <v>385.68</v>
      </c>
    </row>
    <row r="232" spans="1:26" x14ac:dyDescent="0.25">
      <c r="A232" s="806" t="s">
        <v>1274</v>
      </c>
      <c r="B232" s="802"/>
      <c r="C232" s="727"/>
      <c r="D232" s="802">
        <f ca="1">SUMIF($F$19:$F$202,F232,D19:D201)</f>
        <v>3</v>
      </c>
      <c r="E232" s="802"/>
      <c r="F232" s="727" t="s">
        <v>478</v>
      </c>
      <c r="G232" s="805"/>
      <c r="H232" s="805">
        <f>SUMIF($F$19:$F$201,$F232,H$19:H$201)</f>
        <v>43597.399999999994</v>
      </c>
      <c r="I232" s="805"/>
      <c r="J232" s="805">
        <f t="shared" ref="J232:X232" si="47">SUMIF($F$19:$F$201,$F232,J$19:J$201)</f>
        <v>867.78</v>
      </c>
      <c r="K232" s="805"/>
      <c r="L232" s="805">
        <f t="shared" si="47"/>
        <v>13537.3</v>
      </c>
      <c r="M232" s="805"/>
      <c r="N232" s="805">
        <f t="shared" si="47"/>
        <v>6669.7699999999995</v>
      </c>
      <c r="O232" s="805"/>
      <c r="P232" s="805">
        <f t="shared" si="47"/>
        <v>0</v>
      </c>
      <c r="Q232" s="805"/>
      <c r="R232" s="805">
        <f t="shared" si="47"/>
        <v>9700.8499999999985</v>
      </c>
      <c r="S232" s="805"/>
      <c r="T232" s="805">
        <f t="shared" si="47"/>
        <v>32336.13</v>
      </c>
      <c r="U232" s="805">
        <f t="shared" si="47"/>
        <v>106709.23</v>
      </c>
      <c r="V232" s="805">
        <f t="shared" si="47"/>
        <v>18341.89</v>
      </c>
      <c r="W232" s="826">
        <f t="shared" si="47"/>
        <v>125051.12</v>
      </c>
      <c r="X232" s="805">
        <f t="shared" si="47"/>
        <v>108794.47439999999</v>
      </c>
      <c r="Y232" s="643">
        <f t="shared" ca="1" si="43"/>
        <v>1211.04</v>
      </c>
    </row>
    <row r="233" spans="1:26" x14ac:dyDescent="0.25">
      <c r="A233" s="801"/>
      <c r="B233" s="801"/>
      <c r="C233" s="801"/>
      <c r="D233" s="809">
        <f ca="1">SUM(D226:D232)</f>
        <v>183</v>
      </c>
      <c r="E233" s="801">
        <v>182</v>
      </c>
      <c r="F233" s="801"/>
      <c r="H233" s="643">
        <f>SUM(H226:H232)</f>
        <v>1393667.0299999996</v>
      </c>
      <c r="I233" s="643"/>
      <c r="J233" s="643">
        <f t="shared" ref="J233:V233" si="48">SUM(J226:J232)</f>
        <v>30579.78</v>
      </c>
      <c r="K233" s="643"/>
      <c r="L233" s="643">
        <f t="shared" si="48"/>
        <v>976556.08999999973</v>
      </c>
      <c r="M233" s="643"/>
      <c r="N233" s="643">
        <f t="shared" si="48"/>
        <v>213637.43999999997</v>
      </c>
      <c r="O233" s="643"/>
      <c r="P233" s="643">
        <f t="shared" si="48"/>
        <v>88556.459999999977</v>
      </c>
      <c r="Q233" s="643"/>
      <c r="R233" s="643">
        <f t="shared" si="48"/>
        <v>480257.49</v>
      </c>
      <c r="S233" s="643"/>
      <c r="T233" s="643">
        <f t="shared" si="48"/>
        <v>1400820.9499999997</v>
      </c>
      <c r="U233" s="643">
        <f t="shared" si="48"/>
        <v>4584075.24</v>
      </c>
      <c r="V233" s="643">
        <f t="shared" si="48"/>
        <v>606034.74999999965</v>
      </c>
      <c r="W233" s="822">
        <f>SUM(W226:W232)</f>
        <v>5190109.9900000021</v>
      </c>
      <c r="Y233" s="643">
        <f ca="1">SUM(Y226:Y232)</f>
        <v>10156.950000000001</v>
      </c>
      <c r="Z233" s="643">
        <f ca="1">W233+Y233</f>
        <v>5200266.9400000023</v>
      </c>
    </row>
    <row r="234" spans="1:26" x14ac:dyDescent="0.25">
      <c r="H234" s="643">
        <f>H233-H202</f>
        <v>0</v>
      </c>
      <c r="I234" s="643"/>
      <c r="J234" s="643">
        <f t="shared" ref="J234:W234" si="49">J233-J202</f>
        <v>0</v>
      </c>
      <c r="K234" s="643"/>
      <c r="L234" s="643">
        <f t="shared" si="49"/>
        <v>0</v>
      </c>
      <c r="M234" s="643"/>
      <c r="N234" s="643">
        <f t="shared" si="49"/>
        <v>0</v>
      </c>
      <c r="O234" s="643"/>
      <c r="P234" s="643">
        <f t="shared" si="49"/>
        <v>0</v>
      </c>
      <c r="Q234" s="643"/>
      <c r="R234" s="643">
        <f t="shared" si="49"/>
        <v>0</v>
      </c>
      <c r="S234" s="643"/>
      <c r="T234" s="643">
        <f t="shared" si="49"/>
        <v>0</v>
      </c>
      <c r="U234" s="643">
        <f t="shared" si="49"/>
        <v>0</v>
      </c>
      <c r="V234" s="643">
        <f t="shared" si="49"/>
        <v>0</v>
      </c>
      <c r="W234" s="822">
        <f t="shared" si="49"/>
        <v>0</v>
      </c>
      <c r="Y234" s="643"/>
    </row>
    <row r="235" spans="1:26" x14ac:dyDescent="0.25">
      <c r="U235" s="643">
        <f>U233*12</f>
        <v>55008902.880000003</v>
      </c>
      <c r="V235" s="643">
        <f>V233*12</f>
        <v>7272416.9999999963</v>
      </c>
      <c r="W235" s="822">
        <f>W233*12</f>
        <v>62281319.880000025</v>
      </c>
      <c r="Y235" s="643">
        <f ca="1">Y233*12</f>
        <v>121883.40000000001</v>
      </c>
    </row>
    <row r="236" spans="1:26" x14ac:dyDescent="0.25">
      <c r="H236" s="643">
        <f>H233*1.054</f>
        <v>1468925.0496199997</v>
      </c>
      <c r="W236" s="822">
        <f>W235-(W232*12)</f>
        <v>60780706.440000027</v>
      </c>
      <c r="X236" s="643" t="s">
        <v>672</v>
      </c>
      <c r="Y236" s="643">
        <f ca="1">Y235-Y232*12</f>
        <v>107350.92000000001</v>
      </c>
    </row>
    <row r="237" spans="1:26" x14ac:dyDescent="0.25">
      <c r="G237" s="643"/>
    </row>
    <row r="238" spans="1:26" x14ac:dyDescent="0.25">
      <c r="W238" s="822">
        <f>W232*12</f>
        <v>1500613.44</v>
      </c>
      <c r="X238" s="643" t="s">
        <v>478</v>
      </c>
    </row>
    <row r="239" spans="1:26" x14ac:dyDescent="0.25">
      <c r="W239" s="822">
        <f>W238+H232</f>
        <v>1544210.8399999999</v>
      </c>
      <c r="X239" s="643" t="s">
        <v>1285</v>
      </c>
    </row>
  </sheetData>
  <autoFilter ref="A18:AC202"/>
  <mergeCells count="49">
    <mergeCell ref="X15:X17"/>
    <mergeCell ref="Z15:Z17"/>
    <mergeCell ref="Q6:R6"/>
    <mergeCell ref="Q7:R7"/>
    <mergeCell ref="Q8:R8"/>
    <mergeCell ref="Q16:R16"/>
    <mergeCell ref="S16:T16"/>
    <mergeCell ref="O15:T15"/>
    <mergeCell ref="U15:U17"/>
    <mergeCell ref="V15:V17"/>
    <mergeCell ref="A23:A33"/>
    <mergeCell ref="A34:A35"/>
    <mergeCell ref="A36:A44"/>
    <mergeCell ref="A45:A62"/>
    <mergeCell ref="W15:W17"/>
    <mergeCell ref="I16:J16"/>
    <mergeCell ref="K16:L16"/>
    <mergeCell ref="M16:N16"/>
    <mergeCell ref="O16:P16"/>
    <mergeCell ref="A15:A16"/>
    <mergeCell ref="C15:C17"/>
    <mergeCell ref="D15:D17"/>
    <mergeCell ref="E15:E17"/>
    <mergeCell ref="G15:G17"/>
    <mergeCell ref="H15:H17"/>
    <mergeCell ref="I15:N15"/>
    <mergeCell ref="A63:A71"/>
    <mergeCell ref="A143:A149"/>
    <mergeCell ref="A78:A81"/>
    <mergeCell ref="A83:A108"/>
    <mergeCell ref="A109:A114"/>
    <mergeCell ref="A115:A120"/>
    <mergeCell ref="A121:A125"/>
    <mergeCell ref="A126:A129"/>
    <mergeCell ref="A130:A131"/>
    <mergeCell ref="A132:A134"/>
    <mergeCell ref="A135:A136"/>
    <mergeCell ref="A137:A139"/>
    <mergeCell ref="A140:A141"/>
    <mergeCell ref="A72:A77"/>
    <mergeCell ref="A181:A184"/>
    <mergeCell ref="A185:A195"/>
    <mergeCell ref="A196:A201"/>
    <mergeCell ref="A150:A154"/>
    <mergeCell ref="A155:A159"/>
    <mergeCell ref="A160:A163"/>
    <mergeCell ref="A164:A168"/>
    <mergeCell ref="A169:A174"/>
    <mergeCell ref="A175:A180"/>
  </mergeCells>
  <pageMargins left="0.51181102362204722" right="0.11811023622047245" top="0.59055118110236227" bottom="0.59055118110236227" header="0.31496062992125984" footer="0.31496062992125984"/>
  <pageSetup paperSize="9" scale="39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43</vt:i4>
      </vt:variant>
    </vt:vector>
  </HeadingPairs>
  <TitlesOfParts>
    <vt:vector size="126" baseType="lpstr">
      <vt:lpstr>учет расходов 2020</vt:lpstr>
      <vt:lpstr>Свод расчетный</vt:lpstr>
      <vt:lpstr>Лист4</vt:lpstr>
      <vt:lpstr>ОХЗ (поГЗ)</vt:lpstr>
      <vt:lpstr>ОХЗ (ЦК)</vt:lpstr>
      <vt:lpstr>ОХЗ (поГЗ) к №12и13</vt:lpstr>
      <vt:lpstr>МЗ РЦВК</vt:lpstr>
      <vt:lpstr>ФОТ 2020</vt:lpstr>
      <vt:lpstr>ШР 01.08.19</vt:lpstr>
      <vt:lpstr>№1</vt:lpstr>
      <vt:lpstr>Свод по №1</vt:lpstr>
      <vt:lpstr>№2</vt:lpstr>
      <vt:lpstr>Свод по №2</vt:lpstr>
      <vt:lpstr>№3</vt:lpstr>
      <vt:lpstr>Свод по №3</vt:lpstr>
      <vt:lpstr>№4</vt:lpstr>
      <vt:lpstr>Свод по №4</vt:lpstr>
      <vt:lpstr>№5</vt:lpstr>
      <vt:lpstr>Свод по №5</vt:lpstr>
      <vt:lpstr>№6</vt:lpstr>
      <vt:lpstr>Свод по №6</vt:lpstr>
      <vt:lpstr>№7</vt:lpstr>
      <vt:lpstr>Свод по №7</vt:lpstr>
      <vt:lpstr>№8</vt:lpstr>
      <vt:lpstr>Свод по №8</vt:lpstr>
      <vt:lpstr>№9</vt:lpstr>
      <vt:lpstr>Свод по №9</vt:lpstr>
      <vt:lpstr>№10</vt:lpstr>
      <vt:lpstr>Свод по №10</vt:lpstr>
      <vt:lpstr>№11</vt:lpstr>
      <vt:lpstr>Свод по №11</vt:lpstr>
      <vt:lpstr>№12</vt:lpstr>
      <vt:lpstr>Свод по №12</vt:lpstr>
      <vt:lpstr>№13</vt:lpstr>
      <vt:lpstr>Свод по №13</vt:lpstr>
      <vt:lpstr>№14</vt:lpstr>
      <vt:lpstr>Свод по №14</vt:lpstr>
      <vt:lpstr>№15</vt:lpstr>
      <vt:lpstr>Свод по №15</vt:lpstr>
      <vt:lpstr>№16</vt:lpstr>
      <vt:lpstr>Свод по №16</vt:lpstr>
      <vt:lpstr>№17</vt:lpstr>
      <vt:lpstr>Свод по №17</vt:lpstr>
      <vt:lpstr>№18</vt:lpstr>
      <vt:lpstr>Свод по №18</vt:lpstr>
      <vt:lpstr>№19</vt:lpstr>
      <vt:lpstr>Свод по №19</vt:lpstr>
      <vt:lpstr>№20</vt:lpstr>
      <vt:lpstr>Свод по №20</vt:lpstr>
      <vt:lpstr>№21</vt:lpstr>
      <vt:lpstr>Свод по №21</vt:lpstr>
      <vt:lpstr>№22</vt:lpstr>
      <vt:lpstr>Свод по №22</vt:lpstr>
      <vt:lpstr>№23</vt:lpstr>
      <vt:lpstr>Свод по №23</vt:lpstr>
      <vt:lpstr>№24</vt:lpstr>
      <vt:lpstr>Свод по №24</vt:lpstr>
      <vt:lpstr>№25</vt:lpstr>
      <vt:lpstr>Свод по №25</vt:lpstr>
      <vt:lpstr>№26</vt:lpstr>
      <vt:lpstr>Свод по №26</vt:lpstr>
      <vt:lpstr>№27</vt:lpstr>
      <vt:lpstr>Свод по №27</vt:lpstr>
      <vt:lpstr>№28</vt:lpstr>
      <vt:lpstr>Свод по №28</vt:lpstr>
      <vt:lpstr>№29</vt:lpstr>
      <vt:lpstr>Свод по №29</vt:lpstr>
      <vt:lpstr>№29 раб.</vt:lpstr>
      <vt:lpstr>№29 раб. (2)</vt:lpstr>
      <vt:lpstr>№30</vt:lpstr>
      <vt:lpstr>Свод по №30</vt:lpstr>
      <vt:lpstr>№30 раб.</vt:lpstr>
      <vt:lpstr>№31</vt:lpstr>
      <vt:lpstr>Свод по №31</vt:lpstr>
      <vt:lpstr>№31 раб.</vt:lpstr>
      <vt:lpstr>№32</vt:lpstr>
      <vt:lpstr>Свод по №32</vt:lpstr>
      <vt:lpstr>ФВ РЦВК</vt:lpstr>
      <vt:lpstr>фонд времени (ЦК)</vt:lpstr>
      <vt:lpstr>№32 раб.</vt:lpstr>
      <vt:lpstr>Свод РЦВК 2020</vt:lpstr>
      <vt:lpstr>НЗ 20 (РЦВК)</vt:lpstr>
      <vt:lpstr>Налог на им-во</vt:lpstr>
      <vt:lpstr>№1!Заголовки_для_печати</vt:lpstr>
      <vt:lpstr>Лист4!Заголовки_для_печати</vt:lpstr>
      <vt:lpstr>'МЗ РЦВК'!Заголовки_для_печати</vt:lpstr>
      <vt:lpstr>'НЗ 20 (РЦВК)'!Заголовки_для_печати</vt:lpstr>
      <vt:lpstr>'ОХЗ (поГЗ)'!Заголовки_для_печати</vt:lpstr>
      <vt:lpstr>'ОХЗ (поГЗ) к №12и13'!Заголовки_для_печати</vt:lpstr>
      <vt:lpstr>'ОХЗ (ЦК)'!Заголовки_для_печати</vt:lpstr>
      <vt:lpstr>'Свод расчетный'!Заголовки_для_печати</vt:lpstr>
      <vt:lpstr>'Свод РЦВК 2020'!Заголовки_для_печати</vt:lpstr>
      <vt:lpstr>'учет расходов 2020'!Заголовки_для_печати</vt:lpstr>
      <vt:lpstr>'фонд времени (ЦК)'!Заголовки_для_печати</vt:lpstr>
      <vt:lpstr>№1!Область_печати</vt:lpstr>
      <vt:lpstr>№10!Область_печати</vt:lpstr>
      <vt:lpstr>№11!Область_печати</vt:lpstr>
      <vt:lpstr>№12!Область_печати</vt:lpstr>
      <vt:lpstr>№13!Область_печати</vt:lpstr>
      <vt:lpstr>№18!Область_печати</vt:lpstr>
      <vt:lpstr>№2!Область_печати</vt:lpstr>
      <vt:lpstr>'№29 раб.'!Область_печати</vt:lpstr>
      <vt:lpstr>'№29 раб. (2)'!Область_печати</vt:lpstr>
      <vt:lpstr>'№30 раб.'!Область_печати</vt:lpstr>
      <vt:lpstr>'№31 раб.'!Область_печати</vt:lpstr>
      <vt:lpstr>'№32 раб.'!Область_печати</vt:lpstr>
      <vt:lpstr>№4!Область_печати</vt:lpstr>
      <vt:lpstr>№5!Область_печати</vt:lpstr>
      <vt:lpstr>№7!Область_печати</vt:lpstr>
      <vt:lpstr>№8!Область_печати</vt:lpstr>
      <vt:lpstr>№9!Область_печати</vt:lpstr>
      <vt:lpstr>Лист4!Область_печати</vt:lpstr>
      <vt:lpstr>'НЗ 20 (РЦВК)'!Область_печати</vt:lpstr>
      <vt:lpstr>'ОХЗ (поГЗ)'!Область_печати</vt:lpstr>
      <vt:lpstr>'ОХЗ (поГЗ) к №12и13'!Область_печати</vt:lpstr>
      <vt:lpstr>'ОХЗ (ЦК)'!Область_печати</vt:lpstr>
      <vt:lpstr>'Свод по №1'!Область_печати</vt:lpstr>
      <vt:lpstr>'Свод по №3'!Область_печати</vt:lpstr>
      <vt:lpstr>'Свод по №5'!Область_печати</vt:lpstr>
      <vt:lpstr>'Свод по №6'!Область_печати</vt:lpstr>
      <vt:lpstr>'Свод по №7'!Область_печати</vt:lpstr>
      <vt:lpstr>'Свод расчетный'!Область_печати</vt:lpstr>
      <vt:lpstr>'Свод РЦВК 2020'!Область_печати</vt:lpstr>
      <vt:lpstr>'учет расходов 2020'!Область_печати</vt:lpstr>
      <vt:lpstr>'ФВ РЦВК'!Область_печати</vt:lpstr>
      <vt:lpstr>'фонд времени (ЦК)'!Область_печати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2020-05-29T06:10:43Z</dcterms:modified>
</cp:coreProperties>
</file>